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https://cowi.sharepoint.com/sites/A280999-project/Shared Documents/60-WorkInProgress/10-Documents/"/>
    </mc:Choice>
  </mc:AlternateContent>
  <xr:revisionPtr revIDLastSave="24" documentId="8_{515CE0BC-DE70-489B-8E30-1D73C35DC31C}" xr6:coauthVersionLast="47" xr6:coauthVersionMax="47" xr10:uidLastSave="{9697AE02-7D2A-48A5-A551-893BBCEE171F}"/>
  <bookViews>
    <workbookView xWindow="-108" yWindow="-108" windowWidth="23256" windowHeight="13896" tabRatio="607" firstSheet="1" activeTab="1" xr2:uid="{00000000-000D-0000-FFFF-FFFF00000000}"/>
  </bookViews>
  <sheets>
    <sheet name="Dashboard OLD" sheetId="51" state="hidden" r:id="rId1"/>
    <sheet name="Dashboard" sheetId="17" r:id="rId2"/>
    <sheet name="Virksomhedssetup" sheetId="32" r:id="rId3"/>
    <sheet name="Afgifter" sheetId="18" r:id="rId4"/>
    <sheet name="TCO-beregner" sheetId="44" state="hidden" r:id="rId5"/>
    <sheet name="2024" sheetId="34" r:id="rId6"/>
    <sheet name="2025" sheetId="35" r:id="rId7"/>
    <sheet name="2026" sheetId="36" r:id="rId8"/>
    <sheet name="2027" sheetId="37" r:id="rId9"/>
    <sheet name="2028" sheetId="38" r:id="rId10"/>
    <sheet name="2029" sheetId="40" r:id="rId11"/>
    <sheet name="2030" sheetId="41" state="hidden" r:id="rId12"/>
    <sheet name="Dataark TCO" sheetId="10" r:id="rId13"/>
    <sheet name="Elpriser" sheetId="13"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2" l="1"/>
  <c r="E68" i="32"/>
  <c r="D80" i="37" s="1"/>
  <c r="D68" i="32"/>
  <c r="C80" i="37" s="1"/>
  <c r="D79" i="40"/>
  <c r="C79" i="40"/>
  <c r="D79" i="38"/>
  <c r="C79" i="38"/>
  <c r="D79" i="37"/>
  <c r="C79" i="37"/>
  <c r="D79" i="36"/>
  <c r="C79" i="36"/>
  <c r="D79" i="35"/>
  <c r="C79" i="35"/>
  <c r="D80" i="36" l="1"/>
  <c r="D80" i="35"/>
  <c r="D80" i="38"/>
  <c r="D80" i="40"/>
  <c r="D80" i="34"/>
  <c r="C80" i="40"/>
  <c r="C80" i="36"/>
  <c r="C80" i="35"/>
  <c r="C80" i="38"/>
  <c r="C80" i="34"/>
  <c r="N16" i="18"/>
  <c r="M16" i="18"/>
  <c r="D53" i="32" l="1"/>
  <c r="E53" i="32"/>
  <c r="D60" i="35" s="1"/>
  <c r="AD5" i="17"/>
  <c r="D73" i="41" l="1"/>
  <c r="D60" i="36"/>
  <c r="D60" i="37"/>
  <c r="D60" i="38"/>
  <c r="D60" i="40"/>
  <c r="D60" i="34"/>
  <c r="D34" i="41" l="1"/>
  <c r="AD23" i="51"/>
  <c r="C35" i="41" l="1"/>
  <c r="D35" i="41"/>
  <c r="D36" i="41" s="1"/>
  <c r="C34" i="41"/>
  <c r="C36" i="41" l="1"/>
  <c r="O11" i="13" l="1"/>
  <c r="D58" i="32"/>
  <c r="C22" i="35"/>
  <c r="D55" i="32" l="1"/>
  <c r="D59" i="32" s="1"/>
  <c r="E59" i="32"/>
  <c r="E15" i="32"/>
  <c r="D11" i="34" l="1"/>
  <c r="L56" i="18"/>
  <c r="L55" i="18"/>
  <c r="E56" i="18"/>
  <c r="E55" i="18"/>
  <c r="E11" i="32" l="1"/>
  <c r="D12" i="34" s="1"/>
  <c r="C9" i="44"/>
  <c r="C109" i="44" l="1"/>
  <c r="B109" i="44"/>
  <c r="C107" i="44"/>
  <c r="B107" i="44"/>
  <c r="C106" i="44"/>
  <c r="B106" i="44"/>
  <c r="C105" i="44"/>
  <c r="B105" i="44"/>
  <c r="B98" i="44"/>
  <c r="B97" i="44"/>
  <c r="C95" i="44"/>
  <c r="C94" i="44"/>
  <c r="B94" i="44"/>
  <c r="B90" i="44"/>
  <c r="B89" i="44"/>
  <c r="C87" i="44"/>
  <c r="C86" i="44"/>
  <c r="B86" i="44"/>
  <c r="B82" i="44"/>
  <c r="B81" i="44"/>
  <c r="C79" i="44"/>
  <c r="C78" i="44"/>
  <c r="B78" i="44"/>
  <c r="B74" i="44"/>
  <c r="B73" i="44"/>
  <c r="C71" i="44"/>
  <c r="C61" i="44"/>
  <c r="B61" i="44"/>
  <c r="C60" i="44"/>
  <c r="C65" i="44" s="1"/>
  <c r="B60" i="44"/>
  <c r="B54" i="44"/>
  <c r="B52" i="44"/>
  <c r="B53" i="44" s="1"/>
  <c r="B51" i="44"/>
  <c r="B50" i="44"/>
  <c r="C44" i="44"/>
  <c r="B44" i="44"/>
  <c r="C41" i="44"/>
  <c r="B41" i="44"/>
  <c r="C38" i="44"/>
  <c r="B38" i="44"/>
  <c r="C32" i="44"/>
  <c r="B32" i="44"/>
  <c r="C30" i="44"/>
  <c r="B30" i="44"/>
  <c r="B29" i="44"/>
  <c r="B28" i="44"/>
  <c r="C23" i="44"/>
  <c r="C21" i="44"/>
  <c r="C19" i="44"/>
  <c r="C17" i="44"/>
  <c r="C13" i="44"/>
  <c r="C10" i="44"/>
  <c r="C22" i="34"/>
  <c r="D33" i="41"/>
  <c r="C33" i="41"/>
  <c r="B57" i="44" l="1"/>
  <c r="B56" i="44" s="1"/>
  <c r="B55" i="44" s="1"/>
  <c r="B31" i="44"/>
  <c r="C66" i="44"/>
  <c r="C67" i="44" s="1"/>
  <c r="D87" i="41" l="1"/>
  <c r="C87" i="41"/>
  <c r="D85" i="41"/>
  <c r="C85" i="41"/>
  <c r="D84" i="41"/>
  <c r="C84" i="41"/>
  <c r="D83" i="41"/>
  <c r="C83" i="41"/>
  <c r="C77" i="41"/>
  <c r="C76" i="41"/>
  <c r="D74" i="41"/>
  <c r="D65" i="41"/>
  <c r="C65" i="41"/>
  <c r="D64" i="41"/>
  <c r="D69" i="41" s="1"/>
  <c r="C64" i="41"/>
  <c r="C58" i="41"/>
  <c r="C56" i="41"/>
  <c r="C57" i="41" s="1"/>
  <c r="C55" i="41"/>
  <c r="C54" i="41"/>
  <c r="D48" i="41"/>
  <c r="C48" i="41"/>
  <c r="D45" i="41"/>
  <c r="C45" i="41"/>
  <c r="D42" i="41"/>
  <c r="C42" i="41"/>
  <c r="D31" i="41"/>
  <c r="C31" i="41"/>
  <c r="C30" i="41"/>
  <c r="C29" i="41"/>
  <c r="D14" i="41"/>
  <c r="D11" i="41"/>
  <c r="D10" i="41"/>
  <c r="D74" i="40"/>
  <c r="C74" i="40"/>
  <c r="D72" i="40"/>
  <c r="C72" i="40"/>
  <c r="D71" i="40"/>
  <c r="C71" i="40"/>
  <c r="D70" i="40"/>
  <c r="C70" i="40"/>
  <c r="C64" i="40"/>
  <c r="C63" i="40"/>
  <c r="D61" i="40"/>
  <c r="D52" i="40"/>
  <c r="C52" i="40"/>
  <c r="D51" i="40"/>
  <c r="D56" i="40" s="1"/>
  <c r="D57" i="40" s="1"/>
  <c r="C51" i="40"/>
  <c r="C45" i="40"/>
  <c r="C43" i="40"/>
  <c r="C44" i="40" s="1"/>
  <c r="C42" i="40"/>
  <c r="C41" i="40"/>
  <c r="D35" i="40"/>
  <c r="C35" i="40"/>
  <c r="D32" i="40"/>
  <c r="C32" i="40"/>
  <c r="D29" i="40"/>
  <c r="C29" i="40"/>
  <c r="D22" i="40"/>
  <c r="C22" i="40"/>
  <c r="C21" i="40"/>
  <c r="C20" i="40"/>
  <c r="D15" i="40"/>
  <c r="D12" i="40"/>
  <c r="D11" i="40"/>
  <c r="L52" i="18"/>
  <c r="L51" i="18"/>
  <c r="L47" i="18"/>
  <c r="L46" i="18"/>
  <c r="D43" i="32"/>
  <c r="D22" i="32"/>
  <c r="C20" i="35"/>
  <c r="D74" i="38"/>
  <c r="C74" i="38"/>
  <c r="D72" i="38"/>
  <c r="C72" i="38"/>
  <c r="D71" i="38"/>
  <c r="C71" i="38"/>
  <c r="D70" i="38"/>
  <c r="C70" i="38"/>
  <c r="D74" i="37"/>
  <c r="C74" i="37"/>
  <c r="D72" i="37"/>
  <c r="C72" i="37"/>
  <c r="D71" i="37"/>
  <c r="C71" i="37"/>
  <c r="D70" i="37"/>
  <c r="C70" i="37"/>
  <c r="D74" i="36"/>
  <c r="C74" i="36"/>
  <c r="D72" i="36"/>
  <c r="C72" i="36"/>
  <c r="D71" i="36"/>
  <c r="C71" i="36"/>
  <c r="D70" i="36"/>
  <c r="C70" i="36"/>
  <c r="D74" i="35"/>
  <c r="C74" i="35"/>
  <c r="D72" i="35"/>
  <c r="C72" i="35"/>
  <c r="D71" i="35"/>
  <c r="C71" i="35"/>
  <c r="D70" i="35"/>
  <c r="C70" i="35"/>
  <c r="C64" i="38"/>
  <c r="C63" i="38"/>
  <c r="D61" i="38"/>
  <c r="C64" i="37"/>
  <c r="C63" i="37"/>
  <c r="D61" i="37"/>
  <c r="C64" i="36"/>
  <c r="C63" i="36"/>
  <c r="D61" i="36"/>
  <c r="C64" i="35"/>
  <c r="C63" i="35"/>
  <c r="D61" i="35"/>
  <c r="D52" i="38"/>
  <c r="C52" i="38"/>
  <c r="D51" i="38"/>
  <c r="C51" i="38"/>
  <c r="D52" i="37"/>
  <c r="C52" i="37"/>
  <c r="D51" i="37"/>
  <c r="C51" i="37"/>
  <c r="D52" i="36"/>
  <c r="C52" i="36"/>
  <c r="D51" i="36"/>
  <c r="C51" i="36"/>
  <c r="D52" i="35"/>
  <c r="C52" i="35"/>
  <c r="D51" i="35"/>
  <c r="C51" i="35"/>
  <c r="C45" i="38"/>
  <c r="C43" i="38"/>
  <c r="C44" i="38" s="1"/>
  <c r="C42" i="38"/>
  <c r="C41" i="38"/>
  <c r="C45" i="37"/>
  <c r="C43" i="37"/>
  <c r="C44" i="37" s="1"/>
  <c r="C42" i="37"/>
  <c r="C41" i="37"/>
  <c r="C45" i="36"/>
  <c r="C43" i="36"/>
  <c r="C44" i="36" s="1"/>
  <c r="C42" i="36"/>
  <c r="C41" i="36"/>
  <c r="C45" i="35"/>
  <c r="C43" i="35"/>
  <c r="C44" i="35" s="1"/>
  <c r="C42" i="35"/>
  <c r="C41" i="35"/>
  <c r="D35" i="38"/>
  <c r="C35" i="38"/>
  <c r="D32" i="38"/>
  <c r="C32" i="38"/>
  <c r="D29" i="38"/>
  <c r="C29" i="38"/>
  <c r="D35" i="37"/>
  <c r="C35" i="37"/>
  <c r="D32" i="37"/>
  <c r="C32" i="37"/>
  <c r="D29" i="37"/>
  <c r="C29" i="37"/>
  <c r="D35" i="36"/>
  <c r="C35" i="36"/>
  <c r="D32" i="36"/>
  <c r="C32" i="36"/>
  <c r="D29" i="36"/>
  <c r="C29" i="36"/>
  <c r="D35" i="35"/>
  <c r="C35" i="35"/>
  <c r="D32" i="35"/>
  <c r="C32" i="35"/>
  <c r="D29" i="35"/>
  <c r="C29" i="35"/>
  <c r="D74" i="34"/>
  <c r="C74" i="34"/>
  <c r="D70" i="34"/>
  <c r="D71" i="34"/>
  <c r="D72" i="34"/>
  <c r="C71" i="34"/>
  <c r="C72" i="34"/>
  <c r="C70" i="34"/>
  <c r="C64" i="34"/>
  <c r="C63" i="34"/>
  <c r="C65" i="34" s="1"/>
  <c r="D61" i="34"/>
  <c r="D51" i="34"/>
  <c r="D52" i="34"/>
  <c r="C51" i="34"/>
  <c r="C42" i="34"/>
  <c r="C43" i="34"/>
  <c r="C44" i="34" s="1"/>
  <c r="C45" i="34"/>
  <c r="C41" i="34"/>
  <c r="C29" i="34"/>
  <c r="D29" i="34"/>
  <c r="C32" i="34"/>
  <c r="D32" i="34"/>
  <c r="C35" i="34"/>
  <c r="D35" i="34"/>
  <c r="D49" i="32" l="1"/>
  <c r="D50" i="32" s="1"/>
  <c r="D51" i="32" s="1"/>
  <c r="C23" i="37"/>
  <c r="C23" i="36"/>
  <c r="C23" i="35"/>
  <c r="C23" i="34"/>
  <c r="C23" i="40"/>
  <c r="C23" i="38"/>
  <c r="C65" i="40"/>
  <c r="D79" i="41"/>
  <c r="C78" i="41"/>
  <c r="D66" i="40"/>
  <c r="C61" i="41"/>
  <c r="C60" i="41" s="1"/>
  <c r="C59" i="41" s="1"/>
  <c r="C48" i="38"/>
  <c r="C48" i="34"/>
  <c r="C32" i="41"/>
  <c r="D58" i="40"/>
  <c r="D70" i="41"/>
  <c r="D71" i="41" s="1"/>
  <c r="C48" i="40"/>
  <c r="C47" i="40" s="1"/>
  <c r="C46" i="40" s="1"/>
  <c r="C30" i="40"/>
  <c r="E32" i="32"/>
  <c r="C42" i="44" s="1"/>
  <c r="D32" i="32"/>
  <c r="B42" i="44" s="1"/>
  <c r="E9" i="18"/>
  <c r="C61" i="18" s="1"/>
  <c r="E10" i="18"/>
  <c r="E52" i="18"/>
  <c r="E51" i="18"/>
  <c r="E47" i="18"/>
  <c r="E46" i="18"/>
  <c r="D56" i="38"/>
  <c r="D57" i="38" s="1"/>
  <c r="D22" i="38"/>
  <c r="C22" i="38"/>
  <c r="C21" i="38"/>
  <c r="C20" i="38"/>
  <c r="D15" i="38"/>
  <c r="D12" i="38"/>
  <c r="D11" i="38"/>
  <c r="D56" i="37"/>
  <c r="D22" i="37"/>
  <c r="C22" i="37"/>
  <c r="C21" i="37"/>
  <c r="C20" i="37"/>
  <c r="D15" i="37"/>
  <c r="D12" i="37"/>
  <c r="D11" i="37"/>
  <c r="D56" i="36"/>
  <c r="D22" i="36"/>
  <c r="C22" i="36"/>
  <c r="C21" i="36"/>
  <c r="C20" i="36"/>
  <c r="D15" i="36"/>
  <c r="D12" i="36"/>
  <c r="D11" i="36"/>
  <c r="D56" i="35"/>
  <c r="D22" i="35"/>
  <c r="C21" i="35"/>
  <c r="D15" i="35"/>
  <c r="D12" i="35"/>
  <c r="D11" i="35"/>
  <c r="C65" i="37" l="1"/>
  <c r="C65" i="38"/>
  <c r="C65" i="36"/>
  <c r="D66" i="38"/>
  <c r="D47" i="18"/>
  <c r="F47" i="18" s="1"/>
  <c r="K51" i="18"/>
  <c r="D46" i="18"/>
  <c r="K52" i="18"/>
  <c r="D56" i="18"/>
  <c r="D51" i="18"/>
  <c r="D48" i="18"/>
  <c r="K56" i="18"/>
  <c r="C62" i="18"/>
  <c r="K48" i="18"/>
  <c r="K47" i="18"/>
  <c r="D55" i="18"/>
  <c r="D52" i="18"/>
  <c r="K55" i="18"/>
  <c r="K46" i="18"/>
  <c r="D66" i="37"/>
  <c r="D66" i="36"/>
  <c r="C65" i="35"/>
  <c r="D66" i="35"/>
  <c r="D33" i="32"/>
  <c r="B37" i="44"/>
  <c r="C46" i="41"/>
  <c r="C47" i="41" s="1"/>
  <c r="C33" i="40"/>
  <c r="C34" i="40" s="1"/>
  <c r="D46" i="41"/>
  <c r="D33" i="40"/>
  <c r="C31" i="40"/>
  <c r="C44" i="41"/>
  <c r="C43" i="41"/>
  <c r="C30" i="35"/>
  <c r="C31" i="35"/>
  <c r="C30" i="36"/>
  <c r="C31" i="36"/>
  <c r="C30" i="37"/>
  <c r="C31" i="37"/>
  <c r="C30" i="38"/>
  <c r="C31" i="38"/>
  <c r="C33" i="35"/>
  <c r="C34" i="35" s="1"/>
  <c r="C33" i="38"/>
  <c r="C34" i="38" s="1"/>
  <c r="C33" i="34"/>
  <c r="C33" i="36"/>
  <c r="C34" i="36" s="1"/>
  <c r="C33" i="37"/>
  <c r="C34" i="37" s="1"/>
  <c r="C48" i="36"/>
  <c r="C47" i="36" s="1"/>
  <c r="C46" i="36" s="1"/>
  <c r="C48" i="35"/>
  <c r="C47" i="35" s="1"/>
  <c r="C46" i="35" s="1"/>
  <c r="C47" i="38"/>
  <c r="C46" i="38" s="1"/>
  <c r="C48" i="37"/>
  <c r="C47" i="37" s="1"/>
  <c r="C46" i="37" s="1"/>
  <c r="D57" i="37"/>
  <c r="D58" i="37" s="1"/>
  <c r="D33" i="38"/>
  <c r="D33" i="36"/>
  <c r="D33" i="34"/>
  <c r="D33" i="37"/>
  <c r="D33" i="35"/>
  <c r="D58" i="38"/>
  <c r="D57" i="36"/>
  <c r="D58" i="36" s="1"/>
  <c r="D57" i="35"/>
  <c r="D58" i="35" s="1"/>
  <c r="D22" i="34"/>
  <c r="D66" i="34" s="1"/>
  <c r="D56" i="34"/>
  <c r="C21" i="34"/>
  <c r="C20" i="34"/>
  <c r="D15" i="34"/>
  <c r="C70" i="44" l="1"/>
  <c r="B39" i="44"/>
  <c r="B40" i="44"/>
  <c r="B43" i="44"/>
  <c r="C31" i="34"/>
  <c r="C30" i="34"/>
  <c r="C34" i="34"/>
  <c r="D30" i="32"/>
  <c r="D29" i="32"/>
  <c r="D57" i="34"/>
  <c r="D58" i="34" s="1"/>
  <c r="C47" i="34"/>
  <c r="C46" i="34" s="1"/>
  <c r="C24" i="44" l="1"/>
  <c r="C22" i="44"/>
  <c r="C20" i="44"/>
  <c r="E13" i="32"/>
  <c r="C12" i="44" s="1"/>
  <c r="E12" i="32"/>
  <c r="C11" i="44" l="1"/>
  <c r="C108" i="44" s="1"/>
  <c r="C110" i="44" s="1"/>
  <c r="E64" i="32"/>
  <c r="D64" i="32"/>
  <c r="D16" i="34"/>
  <c r="C53" i="34" s="1"/>
  <c r="C54" i="34" s="1"/>
  <c r="C55" i="34" s="1"/>
  <c r="C56" i="34" s="1"/>
  <c r="C57" i="34" s="1"/>
  <c r="B46" i="44"/>
  <c r="B47" i="44" s="1"/>
  <c r="B48" i="44" s="1"/>
  <c r="B45" i="44" s="1"/>
  <c r="C14" i="44"/>
  <c r="B62" i="44" s="1"/>
  <c r="B63" i="44" s="1"/>
  <c r="B64" i="44" s="1"/>
  <c r="B65" i="44" s="1"/>
  <c r="B88" i="44"/>
  <c r="C92" i="44"/>
  <c r="B91" i="44"/>
  <c r="C18" i="44"/>
  <c r="B83" i="44"/>
  <c r="B80" i="44"/>
  <c r="C84" i="44"/>
  <c r="B99" i="44"/>
  <c r="C100" i="44"/>
  <c r="B96" i="44"/>
  <c r="D13" i="41"/>
  <c r="D14" i="40"/>
  <c r="D16" i="40"/>
  <c r="C53" i="40" s="1"/>
  <c r="D15" i="41"/>
  <c r="C66" i="41" s="1"/>
  <c r="D12" i="41"/>
  <c r="D13" i="40"/>
  <c r="D16" i="38"/>
  <c r="C53" i="38" s="1"/>
  <c r="D16" i="37"/>
  <c r="C53" i="37" s="1"/>
  <c r="D16" i="35"/>
  <c r="C53" i="35" s="1"/>
  <c r="D16" i="36"/>
  <c r="C53" i="36" s="1"/>
  <c r="D13" i="36"/>
  <c r="D13" i="38"/>
  <c r="D13" i="37"/>
  <c r="E11" i="18"/>
  <c r="D13" i="35"/>
  <c r="D14" i="38"/>
  <c r="D14" i="37"/>
  <c r="D14" i="36"/>
  <c r="E12" i="18"/>
  <c r="D14" i="35"/>
  <c r="D36" i="32"/>
  <c r="D37" i="32" s="1"/>
  <c r="D13" i="34"/>
  <c r="D14" i="34"/>
  <c r="C37" i="34" s="1"/>
  <c r="H27" i="44" l="1"/>
  <c r="I28" i="44"/>
  <c r="B108" i="44"/>
  <c r="B110" i="44" s="1"/>
  <c r="B111" i="44" s="1"/>
  <c r="B112" i="44" s="1"/>
  <c r="C58" i="34"/>
  <c r="C54" i="37"/>
  <c r="C55" i="37" s="1"/>
  <c r="C56" i="37" s="1"/>
  <c r="C54" i="38"/>
  <c r="C55" i="38" s="1"/>
  <c r="C56" i="38" s="1"/>
  <c r="C54" i="40"/>
  <c r="C55" i="40" s="1"/>
  <c r="C56" i="40" s="1"/>
  <c r="C54" i="36"/>
  <c r="C55" i="36" s="1"/>
  <c r="C56" i="36" s="1"/>
  <c r="C57" i="36" s="1"/>
  <c r="C58" i="36" s="1"/>
  <c r="C67" i="41"/>
  <c r="C68" i="41" s="1"/>
  <c r="C69" i="41" s="1"/>
  <c r="C54" i="35"/>
  <c r="C55" i="35" s="1"/>
  <c r="C56" i="35" s="1"/>
  <c r="B100" i="44"/>
  <c r="M56" i="18"/>
  <c r="M55" i="18"/>
  <c r="F56" i="18"/>
  <c r="F55" i="18"/>
  <c r="G27" i="44"/>
  <c r="B84" i="44"/>
  <c r="B75" i="44"/>
  <c r="C76" i="44"/>
  <c r="C101" i="44" s="1"/>
  <c r="C111" i="44"/>
  <c r="C112" i="44" s="1"/>
  <c r="F32" i="44"/>
  <c r="B92" i="44"/>
  <c r="I27" i="44"/>
  <c r="B66" i="44"/>
  <c r="I41" i="34"/>
  <c r="H41" i="34"/>
  <c r="C37" i="40"/>
  <c r="C38" i="40" s="1"/>
  <c r="C39" i="40" s="1"/>
  <c r="C36" i="40" s="1"/>
  <c r="C50" i="41"/>
  <c r="J42" i="40"/>
  <c r="U17" i="10" s="1"/>
  <c r="C73" i="40"/>
  <c r="C75" i="40" s="1"/>
  <c r="D73" i="40"/>
  <c r="D75" i="40" s="1"/>
  <c r="I41" i="40"/>
  <c r="T8" i="10" s="1"/>
  <c r="J45" i="41"/>
  <c r="U18" i="10" s="1"/>
  <c r="C86" i="41"/>
  <c r="C88" i="41" s="1"/>
  <c r="I44" i="41"/>
  <c r="T9" i="10" s="1"/>
  <c r="D86" i="41"/>
  <c r="D88" i="41" s="1"/>
  <c r="C37" i="36"/>
  <c r="C37" i="38"/>
  <c r="D73" i="35"/>
  <c r="D75" i="35" s="1"/>
  <c r="C73" i="35"/>
  <c r="C75" i="35" s="1"/>
  <c r="C73" i="37"/>
  <c r="C75" i="37" s="1"/>
  <c r="D73" i="37"/>
  <c r="D75" i="37" s="1"/>
  <c r="C73" i="38"/>
  <c r="C75" i="38" s="1"/>
  <c r="D73" i="38"/>
  <c r="D75" i="38" s="1"/>
  <c r="C73" i="36"/>
  <c r="C75" i="36" s="1"/>
  <c r="D73" i="36"/>
  <c r="D75" i="36" s="1"/>
  <c r="C37" i="35"/>
  <c r="C37" i="37"/>
  <c r="D38" i="32"/>
  <c r="D35" i="32" s="1"/>
  <c r="D73" i="34"/>
  <c r="D75" i="34" s="1"/>
  <c r="G46" i="34" s="1"/>
  <c r="AB26" i="51" s="1"/>
  <c r="J42" i="34"/>
  <c r="AE23" i="51" s="1"/>
  <c r="J42" i="35"/>
  <c r="I41" i="35"/>
  <c r="C73" i="34"/>
  <c r="C75" i="34" s="1"/>
  <c r="G45" i="34" s="1"/>
  <c r="J42" i="37"/>
  <c r="U15" i="10" s="1"/>
  <c r="I41" i="37"/>
  <c r="T6" i="10" s="1"/>
  <c r="I41" i="38"/>
  <c r="T7" i="10" s="1"/>
  <c r="J42" i="38"/>
  <c r="U16" i="10" s="1"/>
  <c r="J42" i="36"/>
  <c r="U14" i="10" s="1"/>
  <c r="I41" i="36"/>
  <c r="T5" i="10" s="1"/>
  <c r="M51" i="18"/>
  <c r="M48" i="18"/>
  <c r="M52" i="18"/>
  <c r="M46" i="18"/>
  <c r="M47" i="18"/>
  <c r="J41" i="34"/>
  <c r="AE22" i="51" s="1"/>
  <c r="C38" i="34"/>
  <c r="C39" i="34" s="1"/>
  <c r="C36" i="34" s="1"/>
  <c r="C51" i="41" l="1"/>
  <c r="C52" i="41" s="1"/>
  <c r="C49" i="41" s="1"/>
  <c r="H44" i="41"/>
  <c r="S9" i="10" s="1"/>
  <c r="AB25" i="51"/>
  <c r="F31" i="44"/>
  <c r="N55" i="18"/>
  <c r="U13" i="10"/>
  <c r="AE5" i="17"/>
  <c r="T4" i="10"/>
  <c r="AD4" i="17"/>
  <c r="G55" i="18"/>
  <c r="N46" i="18"/>
  <c r="N51" i="18"/>
  <c r="T3" i="10"/>
  <c r="AD22" i="51"/>
  <c r="S3" i="10"/>
  <c r="AC22" i="51"/>
  <c r="C57" i="38"/>
  <c r="C58" i="38" s="1"/>
  <c r="J41" i="38"/>
  <c r="U7" i="10" s="1"/>
  <c r="C57" i="40"/>
  <c r="C58" i="40" s="1"/>
  <c r="J41" i="40"/>
  <c r="U8" i="10" s="1"/>
  <c r="C57" i="37"/>
  <c r="C58" i="37" s="1"/>
  <c r="J41" i="37"/>
  <c r="U6" i="10" s="1"/>
  <c r="C70" i="41"/>
  <c r="C71" i="41" s="1"/>
  <c r="J44" i="41"/>
  <c r="U9" i="10" s="1"/>
  <c r="J41" i="36"/>
  <c r="U5" i="10" s="1"/>
  <c r="C57" i="35"/>
  <c r="C58" i="35" s="1"/>
  <c r="J41" i="35"/>
  <c r="B67" i="44"/>
  <c r="E32" i="44"/>
  <c r="C102" i="44"/>
  <c r="H41" i="40"/>
  <c r="C89" i="41"/>
  <c r="C90" i="41" s="1"/>
  <c r="G48" i="41"/>
  <c r="W9" i="10" s="1"/>
  <c r="G46" i="40"/>
  <c r="W17" i="10" s="1"/>
  <c r="D76" i="40"/>
  <c r="D77" i="40" s="1"/>
  <c r="C76" i="40"/>
  <c r="C77" i="40" s="1"/>
  <c r="G45" i="40"/>
  <c r="W8" i="10" s="1"/>
  <c r="D89" i="41"/>
  <c r="D90" i="41" s="1"/>
  <c r="G49" i="41"/>
  <c r="W18" i="10" s="1"/>
  <c r="F46" i="40"/>
  <c r="D80" i="41"/>
  <c r="C38" i="38"/>
  <c r="C39" i="38" s="1"/>
  <c r="C36" i="38" s="1"/>
  <c r="H41" i="38"/>
  <c r="C38" i="37"/>
  <c r="C39" i="37" s="1"/>
  <c r="C36" i="37" s="1"/>
  <c r="H41" i="37"/>
  <c r="C38" i="36"/>
  <c r="C39" i="36" s="1"/>
  <c r="C36" i="36" s="1"/>
  <c r="H41" i="36"/>
  <c r="C38" i="35"/>
  <c r="C39" i="35" s="1"/>
  <c r="C36" i="35" s="1"/>
  <c r="H41" i="35"/>
  <c r="D76" i="34"/>
  <c r="D77" i="34" s="1"/>
  <c r="C76" i="34"/>
  <c r="C77" i="34" s="1"/>
  <c r="C76" i="37"/>
  <c r="C77" i="37" s="1"/>
  <c r="G45" i="37"/>
  <c r="W6" i="10" s="1"/>
  <c r="G46" i="36"/>
  <c r="W14" i="10" s="1"/>
  <c r="D76" i="36"/>
  <c r="D77" i="36" s="1"/>
  <c r="G45" i="36"/>
  <c r="W5" i="10" s="1"/>
  <c r="C76" i="36"/>
  <c r="C77" i="36" s="1"/>
  <c r="G45" i="35"/>
  <c r="C76" i="35"/>
  <c r="C77" i="35" s="1"/>
  <c r="U12" i="10"/>
  <c r="D76" i="37"/>
  <c r="D77" i="37" s="1"/>
  <c r="G46" i="37"/>
  <c r="W15" i="10" s="1"/>
  <c r="U3" i="10"/>
  <c r="G46" i="38"/>
  <c r="W16" i="10" s="1"/>
  <c r="D76" i="38"/>
  <c r="D77" i="38" s="1"/>
  <c r="G45" i="38"/>
  <c r="W7" i="10" s="1"/>
  <c r="C76" i="38"/>
  <c r="C77" i="38" s="1"/>
  <c r="W3" i="10"/>
  <c r="W12" i="10"/>
  <c r="G46" i="35"/>
  <c r="D76" i="35"/>
  <c r="D77" i="35" s="1"/>
  <c r="D67" i="35"/>
  <c r="D68" i="35" s="1"/>
  <c r="AB7" i="17" l="1"/>
  <c r="AC4" i="17"/>
  <c r="U4" i="10"/>
  <c r="AE4" i="17"/>
  <c r="W4" i="10"/>
  <c r="W13" i="10"/>
  <c r="AB8" i="17"/>
  <c r="S5" i="10"/>
  <c r="S8" i="10"/>
  <c r="S7" i="10"/>
  <c r="S6" i="10"/>
  <c r="M33" i="18"/>
  <c r="M36" i="18"/>
  <c r="N36" i="18"/>
  <c r="I62" i="18" s="1"/>
  <c r="N33" i="18"/>
  <c r="H62" i="18" s="1"/>
  <c r="N24" i="18"/>
  <c r="E62" i="18" s="1"/>
  <c r="N21" i="18"/>
  <c r="N27" i="18"/>
  <c r="N30" i="18"/>
  <c r="G62" i="18" s="1"/>
  <c r="C103" i="44"/>
  <c r="S4" i="10"/>
  <c r="D67" i="40"/>
  <c r="D68" i="40" s="1"/>
  <c r="F49" i="41"/>
  <c r="D81" i="41"/>
  <c r="V17" i="10"/>
  <c r="D67" i="36"/>
  <c r="D68" i="36" s="1"/>
  <c r="F46" i="34"/>
  <c r="D67" i="37"/>
  <c r="D68" i="37" s="1"/>
  <c r="F46" i="38"/>
  <c r="D67" i="34"/>
  <c r="D68" i="34" s="1"/>
  <c r="F46" i="35"/>
  <c r="D67" i="38"/>
  <c r="D68" i="38" s="1"/>
  <c r="F46" i="37"/>
  <c r="F46" i="36"/>
  <c r="V15" i="10" l="1"/>
  <c r="V18" i="10"/>
  <c r="V14" i="10"/>
  <c r="V16" i="10"/>
  <c r="V13" i="10"/>
  <c r="AA8" i="17"/>
  <c r="AA26" i="51"/>
  <c r="N31" i="18"/>
  <c r="N25" i="18"/>
  <c r="N22" i="18"/>
  <c r="D62" i="18"/>
  <c r="N28" i="18"/>
  <c r="F62" i="18"/>
  <c r="V12" i="10"/>
  <c r="N37" i="18"/>
  <c r="N34" i="18"/>
  <c r="F48" i="18"/>
  <c r="F46" i="18" l="1"/>
  <c r="G46" i="18" s="1"/>
  <c r="F51" i="18"/>
  <c r="F52" i="18"/>
  <c r="G51" i="18" l="1"/>
  <c r="N17" i="18"/>
  <c r="N18" i="18" s="1"/>
  <c r="N19" i="18" s="1"/>
  <c r="M17" i="18"/>
  <c r="M18" i="18" s="1"/>
  <c r="M19" i="18" s="1"/>
  <c r="M24" i="18" l="1"/>
  <c r="M25" i="18" s="1"/>
  <c r="M21" i="18"/>
  <c r="D61" i="18" s="1"/>
  <c r="M27" i="18"/>
  <c r="M30" i="18"/>
  <c r="G61" i="18" s="1"/>
  <c r="H61" i="18"/>
  <c r="I61" i="18"/>
  <c r="M31" i="18" l="1"/>
  <c r="E61" i="18"/>
  <c r="F61" i="18"/>
  <c r="M34" i="18"/>
  <c r="M22" i="18"/>
  <c r="M28" i="18"/>
  <c r="M37" i="18"/>
  <c r="O4" i="13" l="1"/>
  <c r="P4" i="13" s="1"/>
  <c r="O5" i="13"/>
  <c r="P5" i="13" s="1"/>
  <c r="O6" i="13"/>
  <c r="P6" i="13" s="1"/>
  <c r="O7" i="13"/>
  <c r="P7" i="13" s="1"/>
  <c r="O8" i="13"/>
  <c r="P8" i="13" s="1"/>
  <c r="O9" i="13"/>
  <c r="O10" i="13"/>
  <c r="O12" i="13"/>
  <c r="O13" i="13"/>
  <c r="O14" i="13"/>
  <c r="O15" i="13"/>
  <c r="O16" i="13"/>
  <c r="O17" i="13"/>
  <c r="O18" i="13"/>
  <c r="O19" i="13"/>
  <c r="O20" i="13"/>
  <c r="O21" i="13"/>
  <c r="O22" i="13"/>
  <c r="O23" i="13"/>
  <c r="O24" i="13"/>
  <c r="O25" i="13"/>
  <c r="P25" i="13" s="1"/>
  <c r="O26" i="13"/>
  <c r="P26" i="13" s="1"/>
  <c r="O3" i="13"/>
  <c r="P3" i="13" l="1"/>
  <c r="F22" i="13" s="1"/>
  <c r="F23" i="13" s="1"/>
  <c r="C73" i="41" l="1"/>
  <c r="C75" i="41" s="1"/>
  <c r="C79" i="41" s="1"/>
  <c r="C60" i="40"/>
  <c r="C62" i="40" s="1"/>
  <c r="C66" i="40" s="1"/>
  <c r="C60" i="38"/>
  <c r="C62" i="38" s="1"/>
  <c r="C66" i="38" s="1"/>
  <c r="C60" i="37"/>
  <c r="C62" i="37" s="1"/>
  <c r="C66" i="37" s="1"/>
  <c r="C60" i="36"/>
  <c r="C62" i="36" s="1"/>
  <c r="C66" i="36" s="1"/>
  <c r="C60" i="35"/>
  <c r="C62" i="35" s="1"/>
  <c r="C66" i="35" s="1"/>
  <c r="C60" i="34"/>
  <c r="C62" i="34" s="1"/>
  <c r="F48" i="41" l="1"/>
  <c r="F45" i="38"/>
  <c r="C81" i="38" s="1"/>
  <c r="C82" i="38" s="1"/>
  <c r="C67" i="38"/>
  <c r="C68" i="38" s="1"/>
  <c r="C80" i="41"/>
  <c r="C81" i="41" s="1"/>
  <c r="F45" i="36"/>
  <c r="C81" i="36" s="1"/>
  <c r="C82" i="36" s="1"/>
  <c r="C67" i="36"/>
  <c r="C68" i="36" s="1"/>
  <c r="C67" i="37"/>
  <c r="C68" i="37" s="1"/>
  <c r="F45" i="37"/>
  <c r="C81" i="37" s="1"/>
  <c r="C82" i="37" s="1"/>
  <c r="F45" i="35"/>
  <c r="C81" i="35" s="1"/>
  <c r="C67" i="35"/>
  <c r="C68" i="35" s="1"/>
  <c r="C82" i="35" l="1"/>
  <c r="C68" i="18"/>
  <c r="C66" i="34"/>
  <c r="C67" i="40"/>
  <c r="C68" i="40" s="1"/>
  <c r="F45" i="40"/>
  <c r="C81" i="40" s="1"/>
  <c r="C82" i="40" s="1"/>
  <c r="V5" i="10"/>
  <c r="V9" i="10"/>
  <c r="V7" i="10"/>
  <c r="B70" i="44"/>
  <c r="B72" i="44" s="1"/>
  <c r="B76" i="44" s="1"/>
  <c r="B101" i="44" s="1"/>
  <c r="V4" i="10"/>
  <c r="V6" i="10"/>
  <c r="V8" i="10" l="1"/>
  <c r="C67" i="34"/>
  <c r="C68" i="34" s="1"/>
  <c r="F45" i="34"/>
  <c r="B102" i="44"/>
  <c r="E31" i="44"/>
  <c r="C81" i="34" l="1"/>
  <c r="AA7" i="17"/>
  <c r="V3" i="10"/>
  <c r="AA25" i="51"/>
  <c r="B103" i="44"/>
  <c r="E30" i="32"/>
  <c r="D28" i="38"/>
  <c r="D31" i="38" s="1"/>
  <c r="D28" i="36"/>
  <c r="D30" i="36" s="1"/>
  <c r="D41" i="41"/>
  <c r="D47" i="41" s="1"/>
  <c r="D28" i="40"/>
  <c r="D31" i="40" s="1"/>
  <c r="D28" i="37"/>
  <c r="D31" i="37" s="1"/>
  <c r="D28" i="35"/>
  <c r="D31" i="35" s="1"/>
  <c r="C37" i="44"/>
  <c r="C40" i="44" s="1"/>
  <c r="E33" i="32"/>
  <c r="E29" i="32"/>
  <c r="D28" i="34"/>
  <c r="C82" i="34" l="1"/>
  <c r="D30" i="37"/>
  <c r="D43" i="41"/>
  <c r="C39" i="44"/>
  <c r="D30" i="35"/>
  <c r="D34" i="35"/>
  <c r="D37" i="35" s="1"/>
  <c r="H42" i="35" s="1"/>
  <c r="D81" i="35" s="1"/>
  <c r="D34" i="37"/>
  <c r="D37" i="37" s="1"/>
  <c r="E36" i="32"/>
  <c r="E37" i="32" s="1"/>
  <c r="E38" i="32" s="1"/>
  <c r="E35" i="32" s="1"/>
  <c r="D30" i="34"/>
  <c r="D30" i="38"/>
  <c r="D31" i="36"/>
  <c r="D34" i="38"/>
  <c r="D37" i="38" s="1"/>
  <c r="D31" i="34"/>
  <c r="C43" i="44"/>
  <c r="C46" i="44" s="1"/>
  <c r="D44" i="41"/>
  <c r="D50" i="41" s="1"/>
  <c r="D34" i="36"/>
  <c r="D30" i="40"/>
  <c r="D34" i="34"/>
  <c r="D34" i="40"/>
  <c r="D37" i="40" s="1"/>
  <c r="D82" i="35" l="1"/>
  <c r="D68" i="18"/>
  <c r="C72" i="18"/>
  <c r="C77" i="18" s="1"/>
  <c r="E72" i="18"/>
  <c r="E77" i="18" s="1"/>
  <c r="F72" i="18"/>
  <c r="G72" i="18"/>
  <c r="H72" i="18"/>
  <c r="I72" i="18"/>
  <c r="D72" i="18"/>
  <c r="D77" i="18" s="1"/>
  <c r="D38" i="35"/>
  <c r="D38" i="37"/>
  <c r="H42" i="37"/>
  <c r="D81" i="37" s="1"/>
  <c r="D82" i="37" s="1"/>
  <c r="H42" i="40"/>
  <c r="D38" i="40"/>
  <c r="C47" i="44"/>
  <c r="G28" i="44"/>
  <c r="H42" i="38"/>
  <c r="D81" i="38" s="1"/>
  <c r="D82" i="38" s="1"/>
  <c r="D38" i="38"/>
  <c r="H45" i="41"/>
  <c r="D51" i="41"/>
  <c r="D37" i="34"/>
  <c r="D37" i="36"/>
  <c r="S13" i="10"/>
  <c r="D81" i="40" l="1"/>
  <c r="D82" i="40" s="1"/>
  <c r="D86" i="40" s="1"/>
  <c r="D83" i="38"/>
  <c r="D84" i="38" s="1"/>
  <c r="D86" i="38"/>
  <c r="D83" i="35"/>
  <c r="D84" i="35" s="1"/>
  <c r="D83" i="40"/>
  <c r="D84" i="40" s="1"/>
  <c r="D83" i="37"/>
  <c r="D84" i="37" s="1"/>
  <c r="D86" i="37"/>
  <c r="D86" i="35"/>
  <c r="D39" i="35"/>
  <c r="S13" i="35" s="1"/>
  <c r="S15" i="10"/>
  <c r="D39" i="37"/>
  <c r="C48" i="44"/>
  <c r="D38" i="36"/>
  <c r="H42" i="36"/>
  <c r="D81" i="36" s="1"/>
  <c r="D52" i="41"/>
  <c r="D39" i="40"/>
  <c r="D39" i="38"/>
  <c r="S16" i="10"/>
  <c r="D38" i="34"/>
  <c r="H42" i="34"/>
  <c r="S18" i="10"/>
  <c r="S17" i="10"/>
  <c r="D87" i="38" l="1"/>
  <c r="D87" i="35"/>
  <c r="D82" i="36"/>
  <c r="D86" i="36" s="1"/>
  <c r="D87" i="37"/>
  <c r="D83" i="36"/>
  <c r="D84" i="36" s="1"/>
  <c r="D87" i="40"/>
  <c r="D81" i="34"/>
  <c r="D82" i="34" s="1"/>
  <c r="AC5" i="17"/>
  <c r="D88" i="35"/>
  <c r="D36" i="35"/>
  <c r="AC23" i="51"/>
  <c r="S13" i="37"/>
  <c r="D88" i="37"/>
  <c r="D36" i="37"/>
  <c r="D39" i="36"/>
  <c r="P9" i="10"/>
  <c r="D88" i="40"/>
  <c r="D36" i="40"/>
  <c r="S13" i="40"/>
  <c r="I15" i="41"/>
  <c r="D49" i="41"/>
  <c r="S12" i="10"/>
  <c r="D88" i="38"/>
  <c r="S13" i="38"/>
  <c r="D36" i="38"/>
  <c r="D39" i="34"/>
  <c r="H15" i="44"/>
  <c r="C45" i="44"/>
  <c r="S14" i="10"/>
  <c r="D87" i="36" l="1"/>
  <c r="P19" i="10"/>
  <c r="D88" i="36"/>
  <c r="D36" i="36"/>
  <c r="S13" i="36"/>
  <c r="P24" i="10"/>
  <c r="D36" i="34"/>
  <c r="S13" i="34"/>
  <c r="AF11" i="51" s="1"/>
  <c r="P34" i="10"/>
  <c r="P29" i="10"/>
  <c r="G73" i="18" l="1"/>
  <c r="G78" i="18" s="1"/>
  <c r="H46" i="38" s="1"/>
  <c r="H73" i="18"/>
  <c r="H78" i="18" s="1"/>
  <c r="H46" i="40" s="1"/>
  <c r="I73" i="18"/>
  <c r="I78" i="18" s="1"/>
  <c r="H49" i="41" s="1"/>
  <c r="C73" i="18"/>
  <c r="C78" i="18" s="1"/>
  <c r="D73" i="18"/>
  <c r="D78" i="18" s="1"/>
  <c r="H46" i="35" s="1"/>
  <c r="E73" i="18"/>
  <c r="E78" i="18" s="1"/>
  <c r="H46" i="36" s="1"/>
  <c r="F73" i="18"/>
  <c r="F78" i="18" s="1"/>
  <c r="H46" i="37" s="1"/>
  <c r="D83" i="34"/>
  <c r="D86" i="34"/>
  <c r="G77" i="18"/>
  <c r="H45" i="38" s="1"/>
  <c r="H77" i="18"/>
  <c r="H45" i="40" s="1"/>
  <c r="I77" i="18"/>
  <c r="H48" i="41" s="1"/>
  <c r="H45" i="36"/>
  <c r="F77" i="18"/>
  <c r="H45" i="37" s="1"/>
  <c r="H45" i="35"/>
  <c r="P4" i="10"/>
  <c r="P14" i="10"/>
  <c r="I8" i="37" l="1"/>
  <c r="J12" i="10" s="1"/>
  <c r="X15" i="10"/>
  <c r="I7" i="37"/>
  <c r="I10" i="37"/>
  <c r="J22" i="10" s="1"/>
  <c r="J46" i="37"/>
  <c r="I8" i="36"/>
  <c r="I12" i="10" s="1"/>
  <c r="X14" i="10"/>
  <c r="I10" i="36"/>
  <c r="I22" i="10" s="1"/>
  <c r="I7" i="36"/>
  <c r="J46" i="36"/>
  <c r="H46" i="34"/>
  <c r="G32" i="44"/>
  <c r="X17" i="10"/>
  <c r="I8" i="40"/>
  <c r="L12" i="10" s="1"/>
  <c r="J46" i="40"/>
  <c r="I7" i="40"/>
  <c r="I10" i="40"/>
  <c r="L22" i="10" s="1"/>
  <c r="X13" i="10"/>
  <c r="I8" i="35"/>
  <c r="I7" i="35"/>
  <c r="H7" i="10" s="1"/>
  <c r="I10" i="35"/>
  <c r="H22" i="10" s="1"/>
  <c r="AC8" i="17"/>
  <c r="AE8" i="17" s="1"/>
  <c r="J46" i="35"/>
  <c r="I30" i="41"/>
  <c r="I31" i="41" s="1"/>
  <c r="D92" i="41"/>
  <c r="X18" i="10"/>
  <c r="Z18" i="10" s="1"/>
  <c r="I23" i="41"/>
  <c r="I22" i="41"/>
  <c r="I28" i="41"/>
  <c r="I29" i="41" s="1"/>
  <c r="J49" i="41"/>
  <c r="I8" i="38"/>
  <c r="K12" i="10" s="1"/>
  <c r="X16" i="10"/>
  <c r="J46" i="38"/>
  <c r="I10" i="38"/>
  <c r="I7" i="38"/>
  <c r="X4" i="10"/>
  <c r="G8" i="35"/>
  <c r="H11" i="10" s="1"/>
  <c r="G7" i="35"/>
  <c r="G10" i="35"/>
  <c r="H21" i="10" s="1"/>
  <c r="J45" i="35"/>
  <c r="S5" i="35"/>
  <c r="H45" i="34"/>
  <c r="G31" i="44"/>
  <c r="G8" i="38"/>
  <c r="K11" i="10" s="1"/>
  <c r="X7" i="10"/>
  <c r="AC7" i="17"/>
  <c r="AE7" i="17" s="1"/>
  <c r="G10" i="38"/>
  <c r="K21" i="10" s="1"/>
  <c r="G7" i="38"/>
  <c r="J45" i="38"/>
  <c r="S5" i="38"/>
  <c r="G8" i="36"/>
  <c r="I11" i="10" s="1"/>
  <c r="X5" i="10"/>
  <c r="G10" i="36"/>
  <c r="I21" i="10" s="1"/>
  <c r="G7" i="36"/>
  <c r="J45" i="36"/>
  <c r="S5" i="36"/>
  <c r="G23" i="41"/>
  <c r="G30" i="41"/>
  <c r="G31" i="41" s="1"/>
  <c r="X9" i="10"/>
  <c r="Z9" i="10" s="1"/>
  <c r="C92" i="41"/>
  <c r="G28" i="41"/>
  <c r="G29" i="41" s="1"/>
  <c r="G22" i="41"/>
  <c r="J48" i="41"/>
  <c r="I8" i="41"/>
  <c r="G8" i="37"/>
  <c r="J11" i="10" s="1"/>
  <c r="X6" i="10"/>
  <c r="J45" i="37"/>
  <c r="G10" i="37"/>
  <c r="J21" i="10" s="1"/>
  <c r="G7" i="37"/>
  <c r="S5" i="37"/>
  <c r="X8" i="10"/>
  <c r="G8" i="40"/>
  <c r="L11" i="10" s="1"/>
  <c r="G10" i="40"/>
  <c r="L21" i="10" s="1"/>
  <c r="J45" i="40"/>
  <c r="G7" i="40"/>
  <c r="S5" i="40"/>
  <c r="D84" i="34"/>
  <c r="D88" i="34" s="1"/>
  <c r="D87" i="34"/>
  <c r="AG4" i="10" l="1"/>
  <c r="Z16" i="10"/>
  <c r="I9" i="40"/>
  <c r="L17" i="10" s="1"/>
  <c r="L7" i="10"/>
  <c r="AC29" i="10"/>
  <c r="AG9" i="10"/>
  <c r="AC24" i="10" s="1"/>
  <c r="Z17" i="10"/>
  <c r="AE19" i="10"/>
  <c r="AD24" i="10"/>
  <c r="AF14" i="10"/>
  <c r="AH4" i="10"/>
  <c r="C114" i="44"/>
  <c r="I32" i="44"/>
  <c r="I24" i="41"/>
  <c r="I8" i="34"/>
  <c r="X12" i="10"/>
  <c r="AC26" i="51"/>
  <c r="AE26" i="51" s="1"/>
  <c r="I7" i="34"/>
  <c r="G7" i="10" s="1"/>
  <c r="J46" i="34"/>
  <c r="I10" i="34"/>
  <c r="G22" i="10" s="1"/>
  <c r="D96" i="41"/>
  <c r="D93" i="41"/>
  <c r="I9" i="36"/>
  <c r="I17" i="10" s="1"/>
  <c r="I7" i="10"/>
  <c r="Z14" i="10"/>
  <c r="AE4" i="10"/>
  <c r="H12" i="10"/>
  <c r="I9" i="35"/>
  <c r="H17" i="10" s="1"/>
  <c r="I9" i="38"/>
  <c r="K17" i="10" s="1"/>
  <c r="K7" i="10"/>
  <c r="I9" i="37"/>
  <c r="J17" i="10" s="1"/>
  <c r="J7" i="10"/>
  <c r="U37" i="17"/>
  <c r="K22" i="10"/>
  <c r="AD4" i="10"/>
  <c r="AC9" i="10" s="1"/>
  <c r="Z13" i="10"/>
  <c r="AF4" i="10"/>
  <c r="Z15" i="10"/>
  <c r="G9" i="38"/>
  <c r="K16" i="10" s="1"/>
  <c r="K6" i="10"/>
  <c r="G9" i="40"/>
  <c r="L16" i="10" s="1"/>
  <c r="L6" i="10"/>
  <c r="C83" i="40"/>
  <c r="C86" i="40"/>
  <c r="S6" i="40" s="1"/>
  <c r="P30" i="10"/>
  <c r="AG3" i="10"/>
  <c r="Z7" i="10"/>
  <c r="C86" i="38"/>
  <c r="S6" i="38" s="1"/>
  <c r="C83" i="38"/>
  <c r="P25" i="10"/>
  <c r="C93" i="41"/>
  <c r="C96" i="41"/>
  <c r="P35" i="10"/>
  <c r="B114" i="44"/>
  <c r="I31" i="44"/>
  <c r="H7" i="44"/>
  <c r="G9" i="37"/>
  <c r="J16" i="10" s="1"/>
  <c r="J6" i="10"/>
  <c r="G9" i="36"/>
  <c r="I16" i="10" s="1"/>
  <c r="I6" i="10"/>
  <c r="AD23" i="10"/>
  <c r="AG8" i="10"/>
  <c r="AC23" i="10" s="1"/>
  <c r="Z8" i="10"/>
  <c r="AC28" i="10"/>
  <c r="AF13" i="10"/>
  <c r="AH3" i="10"/>
  <c r="AE18" i="10"/>
  <c r="G8" i="34"/>
  <c r="AC25" i="51"/>
  <c r="AE25" i="51" s="1"/>
  <c r="X3" i="10"/>
  <c r="G7" i="34"/>
  <c r="G6" i="10" s="1"/>
  <c r="J45" i="34"/>
  <c r="G10" i="34"/>
  <c r="G21" i="10" s="1"/>
  <c r="S5" i="34"/>
  <c r="AD4" i="51" s="1"/>
  <c r="C83" i="36"/>
  <c r="C86" i="36"/>
  <c r="S6" i="36" s="1"/>
  <c r="P15" i="10"/>
  <c r="G24" i="41"/>
  <c r="AD3" i="10"/>
  <c r="AC8" i="10" s="1"/>
  <c r="Z4" i="10"/>
  <c r="G9" i="35"/>
  <c r="H16" i="10" s="1"/>
  <c r="H6" i="10"/>
  <c r="C83" i="37"/>
  <c r="C86" i="37"/>
  <c r="S6" i="37" s="1"/>
  <c r="P20" i="10"/>
  <c r="AE3" i="10"/>
  <c r="Z5" i="10"/>
  <c r="Z6" i="10"/>
  <c r="AF3" i="10"/>
  <c r="C83" i="35"/>
  <c r="C86" i="35"/>
  <c r="S6" i="35" s="1"/>
  <c r="P10" i="10"/>
  <c r="I9" i="41" l="1"/>
  <c r="AC4" i="10"/>
  <c r="Z12" i="10"/>
  <c r="G12" i="10"/>
  <c r="I9" i="34"/>
  <c r="G17" i="10" s="1"/>
  <c r="C115" i="44"/>
  <c r="C118" i="44"/>
  <c r="AC14" i="10"/>
  <c r="AD9" i="10"/>
  <c r="D94" i="41"/>
  <c r="D98" i="41" s="1"/>
  <c r="D97" i="41"/>
  <c r="AC19" i="10"/>
  <c r="AD14" i="10"/>
  <c r="AE9" i="10"/>
  <c r="AD19" i="10"/>
  <c r="AF9" i="10"/>
  <c r="AE14" i="10"/>
  <c r="I16" i="41"/>
  <c r="I17" i="41" s="1"/>
  <c r="I18" i="41" s="1"/>
  <c r="P36" i="10"/>
  <c r="P37" i="10" s="1"/>
  <c r="C94" i="41"/>
  <c r="C98" i="41" s="1"/>
  <c r="C97" i="41"/>
  <c r="S14" i="38"/>
  <c r="S15" i="38" s="1"/>
  <c r="S16" i="38" s="1"/>
  <c r="W25" i="10" s="1"/>
  <c r="P26" i="10"/>
  <c r="P27" i="10" s="1"/>
  <c r="C84" i="38"/>
  <c r="C88" i="38" s="1"/>
  <c r="S8" i="38" s="1"/>
  <c r="W30" i="10" s="1"/>
  <c r="C87" i="38"/>
  <c r="S7" i="38" s="1"/>
  <c r="C84" i="37"/>
  <c r="C88" i="37" s="1"/>
  <c r="S8" i="37" s="1"/>
  <c r="V30" i="10" s="1"/>
  <c r="C87" i="37"/>
  <c r="S7" i="37" s="1"/>
  <c r="AE13" i="10"/>
  <c r="AD18" i="10"/>
  <c r="AF8" i="10"/>
  <c r="C84" i="35"/>
  <c r="C88" i="35" s="1"/>
  <c r="S8" i="35" s="1"/>
  <c r="T30" i="10" s="1"/>
  <c r="C87" i="35"/>
  <c r="S7" i="35" s="1"/>
  <c r="S14" i="40"/>
  <c r="S15" i="40" s="1"/>
  <c r="S16" i="40" s="1"/>
  <c r="X25" i="10" s="1"/>
  <c r="P31" i="10"/>
  <c r="P32" i="10" s="1"/>
  <c r="C84" i="36"/>
  <c r="C88" i="36" s="1"/>
  <c r="S8" i="36" s="1"/>
  <c r="U30" i="10" s="1"/>
  <c r="C87" i="36"/>
  <c r="S7" i="36" s="1"/>
  <c r="C84" i="40"/>
  <c r="C88" i="40" s="1"/>
  <c r="S8" i="40" s="1"/>
  <c r="X30" i="10" s="1"/>
  <c r="C87" i="40"/>
  <c r="S7" i="40" s="1"/>
  <c r="G11" i="10"/>
  <c r="G9" i="34"/>
  <c r="G16" i="10" s="1"/>
  <c r="S14" i="35"/>
  <c r="S15" i="35" s="1"/>
  <c r="S16" i="35" s="1"/>
  <c r="T25" i="10" s="1"/>
  <c r="P11" i="10"/>
  <c r="P12" i="10" s="1"/>
  <c r="S14" i="36"/>
  <c r="S15" i="36" s="1"/>
  <c r="S16" i="36" s="1"/>
  <c r="U25" i="10" s="1"/>
  <c r="P16" i="10"/>
  <c r="P17" i="10" s="1"/>
  <c r="Z3" i="10"/>
  <c r="AC3" i="10"/>
  <c r="AD13" i="10"/>
  <c r="AE8" i="10"/>
  <c r="AC18" i="10"/>
  <c r="AC13" i="10"/>
  <c r="AD8" i="10"/>
  <c r="S14" i="37"/>
  <c r="S15" i="37" s="1"/>
  <c r="S16" i="37" s="1"/>
  <c r="V25" i="10" s="1"/>
  <c r="P21" i="10"/>
  <c r="P22" i="10" s="1"/>
  <c r="C83" i="34"/>
  <c r="C86" i="34"/>
  <c r="S6" i="34" s="1"/>
  <c r="AD5" i="51" s="1"/>
  <c r="P5" i="10"/>
  <c r="B115" i="44"/>
  <c r="B118" i="44"/>
  <c r="H8" i="44" l="1"/>
  <c r="C116" i="44"/>
  <c r="C120" i="44" s="1"/>
  <c r="C119" i="44"/>
  <c r="H23" i="44" s="1"/>
  <c r="H24" i="44" s="1"/>
  <c r="I10" i="41"/>
  <c r="I11" i="41"/>
  <c r="C84" i="34"/>
  <c r="C88" i="34" s="1"/>
  <c r="S8" i="34" s="1"/>
  <c r="C87" i="34"/>
  <c r="S7" i="34" s="1"/>
  <c r="AD6" i="51" s="1"/>
  <c r="B116" i="44"/>
  <c r="B120" i="44" s="1"/>
  <c r="B119" i="44"/>
  <c r="S14" i="34"/>
  <c r="H16" i="44"/>
  <c r="H17" i="44" s="1"/>
  <c r="H18" i="44" s="1"/>
  <c r="P6" i="10"/>
  <c r="P7" i="10" s="1"/>
  <c r="H10" i="44" l="1"/>
  <c r="AF12" i="51"/>
  <c r="S15" i="34"/>
  <c r="F23" i="44"/>
  <c r="F24" i="44" s="1"/>
  <c r="H9" i="44"/>
  <c r="AD7" i="51"/>
  <c r="S30" i="10"/>
  <c r="AF13" i="51" l="1"/>
  <c r="S16" i="34"/>
  <c r="AF14" i="51" l="1"/>
  <c r="S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tc={33263206-40C7-4C30-913A-04FA5125E656}</author>
  </authors>
  <commentList>
    <comment ref="C70" authorId="0" shapeId="0" xr:uid="{33263206-40C7-4C30-913A-04FA5125E656}">
      <text>
        <t>[Threaded comment]
Your version of Excel allows you to read this threaded comment; however, any edits to it will get removed if the file is opened in a newer version of Excel. Learn more: https://go.microsoft.com/fwlink/?linkid=870924
Comment:
    Der er i skrivende stund (december 2023) fremsat et lovforslag om at øge dieselpriserne med 1,17 kroner inklusiv moms per liter fra 2030. Du kan vælge at indregne dette ved ønske: https://www.ft.dk/ripdf/samling/20231/lovforslag/l81/20231_l81_som_fremsat.pdf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tc={4E08C717-6F92-493F-A499-DE8E8A57B3A3}</author>
  </authors>
  <commentList>
    <comment ref="C5" authorId="0" shapeId="0" xr:uid="{4E08C717-6F92-493F-A499-DE8E8A57B3A3}">
      <text>
        <t xml:space="preserve">[Threaded comment]
Your version of Excel allows you to read this threaded comment; however, any edits to it will get removed if the file is opened in a newer version of Excel. Learn more: https://go.microsoft.com/fwlink/?linkid=870924
Comment:
    Der er til dette lagt 50 øre, som følge med forhøjet dieselafgift, som følge af aftale: Aftale om deludmøntning af Grøn Fond (fm.dk) </t>
      </text>
    </comment>
  </commentList>
</comments>
</file>

<file path=xl/sharedStrings.xml><?xml version="1.0" encoding="utf-8"?>
<sst xmlns="http://schemas.openxmlformats.org/spreadsheetml/2006/main" count="1381" uniqueCount="249">
  <si>
    <t>El-lastbil</t>
  </si>
  <si>
    <t>Rente (%)</t>
  </si>
  <si>
    <t>Antal måneder</t>
  </si>
  <si>
    <t>Læse vejledning:</t>
  </si>
  <si>
    <t>Låste vædier =</t>
  </si>
  <si>
    <t>Felter, hvor du skal indtaste værdier =</t>
  </si>
  <si>
    <t>Spørgsmål til beregningen?</t>
  </si>
  <si>
    <t>Diesel-lastbil</t>
  </si>
  <si>
    <t>Etablering</t>
  </si>
  <si>
    <t>Drift</t>
  </si>
  <si>
    <t>Hvor mange km påtænker du, at køretøjet skal køre pr år?</t>
  </si>
  <si>
    <t>Antal år</t>
  </si>
  <si>
    <t>Adblue</t>
  </si>
  <si>
    <t>Driftoverskud pr måned</t>
  </si>
  <si>
    <t>El</t>
  </si>
  <si>
    <t>Diesel</t>
  </si>
  <si>
    <t>HVO</t>
  </si>
  <si>
    <t>https://www.ok.dk/erhverv/produkter/braendstof/prisudvikling</t>
  </si>
  <si>
    <t>Kilde:</t>
  </si>
  <si>
    <t>Udgiftspost</t>
  </si>
  <si>
    <t>Breakeven sammenlignet med diesel</t>
  </si>
  <si>
    <t>I alt</t>
  </si>
  <si>
    <t>Afgifter</t>
  </si>
  <si>
    <t>Felter, hvor udregninger finder sted pba. indtastede og låste værdier =</t>
  </si>
  <si>
    <t>Drivmiddel</t>
  </si>
  <si>
    <t>Service og forsikring</t>
  </si>
  <si>
    <t>Procentvis ladning som foregår ved depot (%)</t>
  </si>
  <si>
    <t>Ladeinfrastruktur</t>
  </si>
  <si>
    <t>el</t>
  </si>
  <si>
    <t>diesel</t>
  </si>
  <si>
    <t>Pris pr km</t>
  </si>
  <si>
    <t>TCO for periode</t>
  </si>
  <si>
    <t>Drivmiddelpriser</t>
  </si>
  <si>
    <t>Totaløkonomisk beregning inklusive alle udgiftsposter for perioden</t>
  </si>
  <si>
    <t>Antal dæk</t>
  </si>
  <si>
    <t>https://forsyningstilsynet.dk/media/11587/elprisstatistik-2-kvartal-2023.pdf &amp; https://forsyningstilsynet.dk/media/11524/elprisstatistik-1-kvartal-2023.pdf</t>
  </si>
  <si>
    <t>Støtte procent (%)</t>
  </si>
  <si>
    <t>Mulighed for støtte (DKK)</t>
  </si>
  <si>
    <t>Nypris inkl. evt. udstyr (DKK)</t>
  </si>
  <si>
    <t>Pris efter støtte (DKK)</t>
  </si>
  <si>
    <t>Udbetaling (DKK)</t>
  </si>
  <si>
    <t>Restværdi procentsats (%)</t>
  </si>
  <si>
    <t>Renteomkostninger (DKK)</t>
  </si>
  <si>
    <t>Etableringsomkostninger pr. måned (DKK)</t>
  </si>
  <si>
    <t>Etableringsomkostninger pr. år (DKK)</t>
  </si>
  <si>
    <t>Adblue pris pr. km (DKK)</t>
  </si>
  <si>
    <t>Elpris pr kWh ved offentlig ladning (DKK)</t>
  </si>
  <si>
    <t>Afgiftsomkostninger pr måned (DKK)</t>
  </si>
  <si>
    <t>Afgiftsomkostninger pr år (DKK)</t>
  </si>
  <si>
    <t>TCO pr måned (DKK)</t>
  </si>
  <si>
    <t>TCO pr år (DKK)</t>
  </si>
  <si>
    <t>Time</t>
  </si>
  <si>
    <t>Januar</t>
  </si>
  <si>
    <t>Februar</t>
  </si>
  <si>
    <t>Marts</t>
  </si>
  <si>
    <t>April</t>
  </si>
  <si>
    <t>Maj</t>
  </si>
  <si>
    <t>Juni</t>
  </si>
  <si>
    <t>I alt (øre/kWh)</t>
  </si>
  <si>
    <t>I nedenstående tabel, ses spotpriserne pr time for de første 6 måneder af 2023.</t>
  </si>
  <si>
    <t>Historiske elpriser for 2023</t>
  </si>
  <si>
    <t>Kilder:</t>
  </si>
  <si>
    <t>Priserne er esksklusive moms og elafgift, og er et gennemsnit for DK1 og DK2</t>
  </si>
  <si>
    <t xml:space="preserve">https://radiuselnet.dk/elnetkunder/elprisen/ </t>
  </si>
  <si>
    <t xml:space="preserve">https://www.mps-solutions.dk/viden-om-energi/el/elpriser-time-for-time/ </t>
  </si>
  <si>
    <t>I kolonne "R" tillægges distributions- og transmissionafgifterne</t>
  </si>
  <si>
    <t>Se arket "Elpriser"</t>
  </si>
  <si>
    <t>TCO pr km (DKK)</t>
  </si>
  <si>
    <t>Felter, hvor der ikke skal angives nogen værdi =</t>
  </si>
  <si>
    <t>TCO for perioden (DKK)</t>
  </si>
  <si>
    <t>Restværdi (DKK)</t>
  </si>
  <si>
    <t>Hvor mange år påtænker du, at køretøjet skal blive i flåden?</t>
  </si>
  <si>
    <t>Etableringsomkostninger for perioden (DKK)</t>
  </si>
  <si>
    <t>Drivmiddelpris pr kWh/liter/kg (DKK)</t>
  </si>
  <si>
    <t>Omkostning for ladning ved offentligt ladenetværk (DKK)</t>
  </si>
  <si>
    <t>Omkostning for ladning ved depot (DKK)</t>
  </si>
  <si>
    <t>Brændstofudgifter pr måned (DKK)</t>
  </si>
  <si>
    <t>Brændstofudgifter pr år (DKK)</t>
  </si>
  <si>
    <t>Brændstofudgifter for perioden (DKK)</t>
  </si>
  <si>
    <t>Afgiftsomkostninger for perioden (DKK)</t>
  </si>
  <si>
    <t>Prisdifference mellem drivmidlerne</t>
  </si>
  <si>
    <t>Difference sammenlignet med diesel</t>
  </si>
  <si>
    <t>For hele perioden (inkl. evt. ladestander)</t>
  </si>
  <si>
    <t>Meromkostning til etablering</t>
  </si>
  <si>
    <t>Service og forsikringsudgifter pr måned (DKK)</t>
  </si>
  <si>
    <t>Service og forsikringsudgifter pr år (DKK)</t>
  </si>
  <si>
    <t>Service og forsikringsudgifterfor perioden (DKK)</t>
  </si>
  <si>
    <t>Samlet TCO for perioden</t>
  </si>
  <si>
    <t>Service (DKK)</t>
  </si>
  <si>
    <t>Dækomkostninger pr dæk (DKK)</t>
  </si>
  <si>
    <t>Dækomkostninger (DKK)</t>
  </si>
  <si>
    <t>Forsikring (DKK)</t>
  </si>
  <si>
    <t>Vejbenyttelsesafgift (DKK)</t>
  </si>
  <si>
    <t>TCO-sammenligner for lastbiler</t>
  </si>
  <si>
    <t>Zoner</t>
  </si>
  <si>
    <t>Miljøzone</t>
  </si>
  <si>
    <t>Øvrig zone</t>
  </si>
  <si>
    <t>Ikke-omfattede zoner</t>
  </si>
  <si>
    <t>Miljøzoner</t>
  </si>
  <si>
    <t>Km kørt i zone</t>
  </si>
  <si>
    <t>Pris pr zone (DKK/km)</t>
  </si>
  <si>
    <t>Vægtning (%)</t>
  </si>
  <si>
    <t>Satsstruktur 2025-2027</t>
  </si>
  <si>
    <t>Øvrig</t>
  </si>
  <si>
    <t>3,5-12 ton</t>
  </si>
  <si>
    <t>CO2-emissionsklasse 1</t>
  </si>
  <si>
    <t>CO2-emissionsklasse 2</t>
  </si>
  <si>
    <t>CO2-emissionsklasse 3</t>
  </si>
  <si>
    <t>CO2-emissionsklasse 4</t>
  </si>
  <si>
    <t>CO2-emissionsklasse 5</t>
  </si>
  <si>
    <t>12-18 ton</t>
  </si>
  <si>
    <t>18-32 ton</t>
  </si>
  <si>
    <t>Over 32 ton</t>
  </si>
  <si>
    <t>2030 og frem</t>
  </si>
  <si>
    <t>Ellastbil</t>
  </si>
  <si>
    <t>2024 (inkl. ladestander)</t>
  </si>
  <si>
    <t>2025 (inkl. ladestander)</t>
  </si>
  <si>
    <t>2026 (inkl. ladestander)</t>
  </si>
  <si>
    <t>2027 (inkl. ladestander)</t>
  </si>
  <si>
    <t>2028 (inkl. ladestander)</t>
  </si>
  <si>
    <t>Elpris kl. 22-06 (ex. moms og elafgift)</t>
  </si>
  <si>
    <t>Strømpris pr døgn (ex. moms og elafgift)</t>
  </si>
  <si>
    <t>Breakeven</t>
  </si>
  <si>
    <t>Samlet pris pr år</t>
  </si>
  <si>
    <t>Periode 2025-2027</t>
  </si>
  <si>
    <t>Periode 2028 og frem</t>
  </si>
  <si>
    <t>Chaufførlønninger</t>
  </si>
  <si>
    <t>Chaufførlønninger (DKK/mnd)</t>
  </si>
  <si>
    <t>Hvor mange km påtænker du, at køretøjet skal køre pr måned?</t>
  </si>
  <si>
    <t>Hvor mange måneder påtænker du, at køretøjet skal blive i flåden?</t>
  </si>
  <si>
    <t>Køretøj</t>
  </si>
  <si>
    <t>Tilslutning (ampere)</t>
  </si>
  <si>
    <t>Ladestander (DKK)</t>
  </si>
  <si>
    <t>Tilslutning (ampere) (DKK)</t>
  </si>
  <si>
    <t>Tabt ladetid pr dag (%)</t>
  </si>
  <si>
    <t>Ladetid pr tur udover kørehviletid (timer)</t>
  </si>
  <si>
    <t>Depotlader effekt (kW)</t>
  </si>
  <si>
    <t>Antal timer bilen opererer dagligt (timer)</t>
  </si>
  <si>
    <t>Hvor mange km påtænker du, at køretøjet skal køre pr dag?</t>
  </si>
  <si>
    <t>Hvor mange dage om året påtænker du at køretøjet skal være i drift?</t>
  </si>
  <si>
    <t>Køretøjsspecifikationer</t>
  </si>
  <si>
    <t>Batterikapacitet (kWh)</t>
  </si>
  <si>
    <t>Maks ladeeffekt (kW)</t>
  </si>
  <si>
    <t>Rækkevidde (km)</t>
  </si>
  <si>
    <t>Ladetid ved offentlige ladepunkter dag (timer)</t>
  </si>
  <si>
    <t>Danmark</t>
  </si>
  <si>
    <t>Tyskland</t>
  </si>
  <si>
    <t>Sverige</t>
  </si>
  <si>
    <t>Norge</t>
  </si>
  <si>
    <t>Hvor skal køretøjet operere?</t>
  </si>
  <si>
    <t>Danmark (%)</t>
  </si>
  <si>
    <t>Tyskland (%)</t>
  </si>
  <si>
    <t>Sverige (%)</t>
  </si>
  <si>
    <t>Norge (%)</t>
  </si>
  <si>
    <t>Danmark (km)</t>
  </si>
  <si>
    <t>Tyskland (km)</t>
  </si>
  <si>
    <t>Sverige (km)</t>
  </si>
  <si>
    <t>Norge (km)</t>
  </si>
  <si>
    <t>Brændstofudgifter pr måned i Norge (DKK)</t>
  </si>
  <si>
    <t>Brændstofudgifter pr måned i Danmark (DKK)</t>
  </si>
  <si>
    <t>Brændstofudgifter pr måned i Tyskland (DKK)</t>
  </si>
  <si>
    <t>Brændstofudgifter pr måned i Sverige (DKK)</t>
  </si>
  <si>
    <t>Euronorm</t>
  </si>
  <si>
    <t>1-3 aksler</t>
  </si>
  <si>
    <t>4 eller flere aksler</t>
  </si>
  <si>
    <t>Eurovignette årlig tarrif (DKK/måned)</t>
  </si>
  <si>
    <t>Afgiftsberegner Danmark</t>
  </si>
  <si>
    <t>Felter, hvor udregninger finder sted =</t>
  </si>
  <si>
    <t>Kørselsmønster og køretøjsspecifikationer</t>
  </si>
  <si>
    <t>Infrastrukturudgifter pr måned (DKK)</t>
  </si>
  <si>
    <t>Infrastrukturudgifter pr år (DKK)</t>
  </si>
  <si>
    <t>Chaufførudgifter pr måned (DKK)</t>
  </si>
  <si>
    <t>Chaufførudgifter pr år (DKK)</t>
  </si>
  <si>
    <t>Chaufførudgifter for perioden (DKK)</t>
  </si>
  <si>
    <t>Afgiftssatser eller låste værdier =</t>
  </si>
  <si>
    <t>Afgifter (gennemsnitlige værdier for perioden og landene)</t>
  </si>
  <si>
    <t>Har du spørgsmål til beregningen kan du henvende dig til LKPD@COWI.COM</t>
  </si>
  <si>
    <t>Drivmiddelforbrug (kWh/km, L/km, kg/km)</t>
  </si>
  <si>
    <t>Etablering og gravearbejde (DKK)</t>
  </si>
  <si>
    <t>Infrastrukturudgifter for perioden (DKK)</t>
  </si>
  <si>
    <t>Tab/overskud for perioden</t>
  </si>
  <si>
    <t>&amp;</t>
  </si>
  <si>
    <t>km-baseret vejafgift (DKK/km)</t>
  </si>
  <si>
    <t>Afgift (DKK/mnd.)</t>
  </si>
  <si>
    <t>Omkostninger pr måned (DKK)</t>
  </si>
  <si>
    <t>Omkostninger pr år (DKK)</t>
  </si>
  <si>
    <t>Omkostninger for perioden (DKK)</t>
  </si>
  <si>
    <t>Derefter kan du  i celle XX indtaste hvor mange timer ellastbilen skal lade.</t>
  </si>
  <si>
    <t>Herefter beregnes den gennemsnitlige kWh pris ekskl. moms og elafgift.</t>
  </si>
  <si>
    <t>Tast prisen ind i celle XX i arket "Virksomhedssetup", og prisen opdateres automatisk</t>
  </si>
  <si>
    <t>Hvor mange timer påtænker du at lade ellastbilen i løbet af døgnet på depotet</t>
  </si>
  <si>
    <t>Indtast værdier i kolonne S fra kolonne R, for de timer du påtænker at lade ellastbilen</t>
  </si>
  <si>
    <t>Din kWh pris for depotladning ekskl. moms og elafgift (øre/kWh)</t>
  </si>
  <si>
    <t>Beregn din strømpris ved depotladning ud fra dit lademønster</t>
  </si>
  <si>
    <t>2030 eller senere</t>
  </si>
  <si>
    <t>2029 (inkl. ladestander)</t>
  </si>
  <si>
    <t>2030 (inkl. ladestander)</t>
  </si>
  <si>
    <t>Omkostning pr lademeter</t>
  </si>
  <si>
    <t>Pris per lademeter</t>
  </si>
  <si>
    <t>Pris pr lademeter pr km</t>
  </si>
  <si>
    <t>Lademeter (meter)</t>
  </si>
  <si>
    <t>Note</t>
  </si>
  <si>
    <t>Der er trukket hhv. 19 og 12% fra for hhv. 25-27 og efter 28, som følge af ny aftale: https://fm.dk/media/27478/aftale-om-deludmoentning-af-groen-fond.pdf</t>
  </si>
  <si>
    <t>Satsstruktur 2028</t>
  </si>
  <si>
    <t>Satsstruktur 2029 og frem</t>
  </si>
  <si>
    <t>Periode 2029 og frem</t>
  </si>
  <si>
    <t>Periode 2028</t>
  </si>
  <si>
    <t>Drivmiddelforbrug (kWh/km, l/km)</t>
  </si>
  <si>
    <t>Drivmiddelpris pr kWh/liter (DKK)</t>
  </si>
  <si>
    <t>Drivmiddelforbrug (kWh/km, L/km)</t>
  </si>
  <si>
    <t>Hvor mange km skal lastbilen køre pr år, hvor mange år skal den bibeholdes i flåden, og hvilket år påtænker du at indkøbe køretøjet?</t>
  </si>
  <si>
    <t>Procentvis ladning, som foregår ved depot (%)</t>
  </si>
  <si>
    <t>Brændstofpriser pr kWh/l excl. moms</t>
  </si>
  <si>
    <t>Jan 2023 t.o.m. juni 2023</t>
  </si>
  <si>
    <t>Din kWh pris for depotladning ekskl. moms og elafgift (kr/kWh)</t>
  </si>
  <si>
    <t>Maks antal paller</t>
  </si>
  <si>
    <t>Antal paller medbragt</t>
  </si>
  <si>
    <t>Omkostning pr palle</t>
  </si>
  <si>
    <t>Pris per palle total</t>
  </si>
  <si>
    <t>Pris pr mebragt palle total pr km</t>
  </si>
  <si>
    <t>Kapacitetsudnyttelse (%)</t>
  </si>
  <si>
    <t>Afgift pr palle</t>
  </si>
  <si>
    <t>Afgift pr medtaget palle pr km</t>
  </si>
  <si>
    <t>Procent af total udgifter</t>
  </si>
  <si>
    <t>antal km</t>
  </si>
  <si>
    <t>Chaufførløn</t>
  </si>
  <si>
    <t>Afgift pr lademeter pr km</t>
  </si>
  <si>
    <t>Hvor mange km skal lastbilen køre pr år?</t>
  </si>
  <si>
    <t>Hvor mange år skal lastbilen bibeholdes i flåden?</t>
  </si>
  <si>
    <t>Hvilket år påtænker du at indkøbe køretøjet?</t>
  </si>
  <si>
    <t>Afgifter pr 100 km</t>
  </si>
  <si>
    <t>tomkørsel</t>
  </si>
  <si>
    <t>Afgiftstillæg i procent</t>
  </si>
  <si>
    <t>tillæg til omkostninger, som følge af afgifter</t>
  </si>
  <si>
    <t>Øget omkostninger som følge af afgiftsstigning. Procentvis tillæg til nuværende satsniveau:</t>
  </si>
  <si>
    <t>Procent af flåden som udgøres af henholdsvis el og diesel</t>
  </si>
  <si>
    <t>Afgiftsomkostninger pr km</t>
  </si>
  <si>
    <t>Procentdel af samlede omkostninger som udgøres af afgifter</t>
  </si>
  <si>
    <t>Samlet omkostning pr km</t>
  </si>
  <si>
    <t>Procentvis del som udgøres af afgift pr km</t>
  </si>
  <si>
    <t>Leje af boks til afgift (DKK)</t>
  </si>
  <si>
    <t>Administration af afgift (DKK)</t>
  </si>
  <si>
    <t>Administration af afgift (%)</t>
  </si>
  <si>
    <t>Administrationsomkostninger</t>
  </si>
  <si>
    <t>Kilde</t>
  </si>
  <si>
    <t>Brobizz Vejafgift Boks</t>
  </si>
  <si>
    <t>Erfaringstal</t>
  </si>
  <si>
    <t>https://skm.dk/tal-og-metode/satser/satser-og-beloebsgraenser-i-lovgivningen/vejbenyttelsesafgiftsloven</t>
  </si>
  <si>
    <t>https://skm.dk/media/em0poogx/provenuberegning-for-kilometerbaseret-vejafgift-for-lastbiler.pdf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</si>
</sst>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kr.&quot;_-;\-* #,##0.00\ &quot;kr.&quot;_-;_-* &quot;-&quot;??\ &quot;kr.&quot;_-;_-@_-"/>
    <numFmt numFmtId="43" formatCode="_-* #,##0.00_-;\-* #,##0.00_-;_-* &quot;-&quot;??_-;_-@_-"/>
    <numFmt numFmtId="164" formatCode="_-* #,##0.0_-;\-* #,##0.0_-;_-* &quot;-&quot;??_-;_-@_-"/>
    <numFmt numFmtId="165" formatCode="_-* #,##0_-;\-* #,##0_-;_-* &quot;-&quot;??_-;_-@_-"/>
    <numFmt numFmtId="166" formatCode="_-* #,##0\ &quot;kr.&quot;_-;\-* #,##0\ &quot;kr.&quot;_-;_-* &quot;-&quot;??\ &quot;kr.&quot;_-;_-@_-"/>
    <numFmt numFmtId="167" formatCode="&quot;kr.&quot;\ #,##0.00"/>
    <numFmt numFmtId="168" formatCode="0.0000"/>
    <numFmt numFmtId="169" formatCode="0.0"/>
    <numFmt numFmtId="170" formatCode="_-* #,##0.000\ &quot;kr.&quot;_-;\-* #,##0.000\ &quot;kr.&quot;_-;_-* &quot;-&quot;??\ &quot;kr.&quot;_-;_-@_-"/>
    <numFmt numFmtId="171" formatCode="_-* #,##0.0000\ &quot;kr.&quot;_-;\-* #,##0.0000\ &quot;kr.&quot;_-;_-* &quot;-&quot;??\ &quot;kr.&quot;_-;_-@_-"/>
    <numFmt numFmtId="172" formatCode="_-* #,##0\ _k_r_._-;\-* #,##0\ _k_r_._-;_-* &quot;-&quot;?\ _k_r_._-;_-@_-"/>
    <numFmt numFmtId="173" formatCode="0.0%"/>
    <numFmt numFmtId="174" formatCode="_-* #,##0\ [$kr.-406]_-;\-* #,##0\ [$kr.-406]_-;_-* &quot;-&quot;??\ [$kr.-406]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u val="singleAccounting"/>
      <sz val="11"/>
      <color theme="1"/>
      <name val="Calibri"/>
      <family val="2"/>
      <scheme val="minor"/>
    </font>
    <font>
      <b/>
      <sz val="14"/>
      <color theme="1"/>
      <name val="Calibri"/>
      <family val="2"/>
      <scheme val="minor"/>
    </font>
    <font>
      <u/>
      <sz val="11"/>
      <color theme="10"/>
      <name val="Calibri"/>
      <family val="2"/>
      <scheme val="minor"/>
    </font>
    <font>
      <b/>
      <sz val="20"/>
      <color theme="1"/>
      <name val="Calibri"/>
      <family val="2"/>
      <scheme val="minor"/>
    </font>
    <font>
      <i/>
      <sz val="11"/>
      <color theme="1"/>
      <name val="Calibri"/>
      <family val="2"/>
      <scheme val="minor"/>
    </font>
    <font>
      <b/>
      <sz val="11"/>
      <name val="Calibri"/>
      <family val="2"/>
      <scheme val="minor"/>
    </font>
    <font>
      <u val="doubleAccounting"/>
      <sz val="11"/>
      <color theme="1"/>
      <name val="Calibri"/>
      <family val="2"/>
      <scheme val="minor"/>
    </font>
    <font>
      <sz val="11"/>
      <color theme="0"/>
      <name val="Calibri"/>
      <family val="2"/>
      <scheme val="minor"/>
    </font>
    <font>
      <b/>
      <sz val="18"/>
      <color theme="1"/>
      <name val="Calibri"/>
      <family val="2"/>
      <scheme val="minor"/>
    </font>
    <font>
      <u val="double"/>
      <sz val="11"/>
      <color theme="1"/>
      <name val="Calibri"/>
      <family val="2"/>
      <scheme val="minor"/>
    </font>
    <font>
      <sz val="8"/>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sz val="10"/>
      <color theme="1"/>
      <name val="Open Sans"/>
      <family val="2"/>
    </font>
    <font>
      <sz val="10"/>
      <name val="Arial"/>
      <family val="2"/>
    </font>
    <font>
      <sz val="11"/>
      <color rgb="FFFF0000"/>
      <name val="Calibri"/>
      <family val="2"/>
      <scheme val="minor"/>
    </font>
    <font>
      <sz val="14"/>
      <color theme="1"/>
      <name val="Calibri"/>
      <family val="2"/>
      <scheme val="minor"/>
    </font>
    <font>
      <b/>
      <u val="doubleAccounting"/>
      <sz val="14"/>
      <color theme="1"/>
      <name val="Calibri"/>
      <family val="2"/>
      <scheme val="minor"/>
    </font>
  </fonts>
  <fills count="12">
    <fill>
      <patternFill patternType="none"/>
    </fill>
    <fill>
      <patternFill patternType="gray125"/>
    </fill>
    <fill>
      <patternFill patternType="solid">
        <fgColor rgb="FFC85555"/>
        <bgColor indexed="64"/>
      </patternFill>
    </fill>
    <fill>
      <patternFill patternType="solid">
        <fgColor theme="1" tint="0.34998626667073579"/>
        <bgColor indexed="64"/>
      </patternFill>
    </fill>
    <fill>
      <patternFill patternType="solid">
        <fgColor rgb="FF008C60"/>
        <bgColor indexed="64"/>
      </patternFill>
    </fill>
    <fill>
      <patternFill patternType="solid">
        <fgColor rgb="FFFFD966"/>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bgColor indexed="64"/>
      </patternFill>
    </fill>
    <fill>
      <patternFill patternType="solid">
        <fgColor theme="5"/>
        <bgColor indexed="64"/>
      </patternFill>
    </fill>
    <fill>
      <patternFill patternType="solid">
        <fgColor rgb="FF00916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theme="4"/>
      </right>
      <top style="thin">
        <color indexed="64"/>
      </top>
      <bottom style="thin">
        <color indexed="64"/>
      </bottom>
      <diagonal/>
    </border>
    <border>
      <left/>
      <right style="thin">
        <color theme="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20" fillId="0" borderId="0"/>
  </cellStyleXfs>
  <cellXfs count="326">
    <xf numFmtId="0" fontId="0" fillId="0" borderId="0" xfId="0"/>
    <xf numFmtId="0" fontId="0" fillId="0" borderId="1" xfId="0" applyBorder="1"/>
    <xf numFmtId="0" fontId="3" fillId="3" borderId="1" xfId="0" applyFont="1" applyFill="1" applyBorder="1" applyAlignment="1">
      <alignment horizontal="right"/>
    </xf>
    <xf numFmtId="0" fontId="2" fillId="0" borderId="0" xfId="0" applyFont="1"/>
    <xf numFmtId="0" fontId="3" fillId="2" borderId="1" xfId="0" applyFont="1" applyFill="1" applyBorder="1"/>
    <xf numFmtId="0" fontId="0" fillId="4" borderId="1" xfId="0" applyFill="1" applyBorder="1"/>
    <xf numFmtId="0" fontId="8" fillId="0" borderId="0" xfId="0" applyFont="1"/>
    <xf numFmtId="0" fontId="7" fillId="0" borderId="0" xfId="4" applyBorder="1" applyAlignment="1"/>
    <xf numFmtId="0" fontId="0" fillId="5" borderId="1" xfId="0" applyFill="1" applyBorder="1"/>
    <xf numFmtId="0" fontId="4" fillId="4" borderId="1" xfId="0" applyFont="1" applyFill="1" applyBorder="1"/>
    <xf numFmtId="166" fontId="0" fillId="0" borderId="0" xfId="0" applyNumberFormat="1"/>
    <xf numFmtId="0" fontId="0" fillId="5" borderId="1" xfId="0" applyFill="1" applyBorder="1" applyAlignment="1">
      <alignment horizontal="left"/>
    </xf>
    <xf numFmtId="165" fontId="0" fillId="4" borderId="1" xfId="1" applyNumberFormat="1" applyFont="1" applyFill="1" applyBorder="1" applyAlignment="1">
      <alignment horizontal="right" vertical="center" wrapText="1"/>
    </xf>
    <xf numFmtId="0" fontId="0" fillId="4" borderId="1" xfId="0" applyFill="1" applyBorder="1" applyAlignment="1">
      <alignment horizontal="right" vertical="center"/>
    </xf>
    <xf numFmtId="165" fontId="0" fillId="5" borderId="1" xfId="1" applyNumberFormat="1" applyFont="1" applyFill="1" applyBorder="1" applyAlignment="1">
      <alignment horizontal="right" vertical="center" wrapText="1"/>
    </xf>
    <xf numFmtId="0" fontId="0" fillId="5" borderId="1" xfId="0" applyFill="1" applyBorder="1" applyAlignment="1">
      <alignment horizontal="right" vertical="center" wrapText="1"/>
    </xf>
    <xf numFmtId="166" fontId="0" fillId="5" borderId="1" xfId="2"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166" fontId="4" fillId="4" borderId="1" xfId="2" applyNumberFormat="1" applyFont="1" applyFill="1" applyBorder="1" applyAlignment="1">
      <alignment horizontal="right" vertical="center" wrapText="1"/>
    </xf>
    <xf numFmtId="166" fontId="5" fillId="4" borderId="1" xfId="0" applyNumberFormat="1" applyFont="1" applyFill="1" applyBorder="1" applyAlignment="1">
      <alignment horizontal="right" vertical="center" wrapText="1"/>
    </xf>
    <xf numFmtId="0" fontId="2" fillId="0" borderId="1" xfId="0" applyFont="1" applyBorder="1"/>
    <xf numFmtId="167" fontId="0" fillId="0" borderId="1" xfId="0" applyNumberFormat="1" applyBorder="1" applyAlignment="1">
      <alignment horizontal="center"/>
    </xf>
    <xf numFmtId="17" fontId="2" fillId="0" borderId="1" xfId="0" applyNumberFormat="1" applyFont="1" applyBorder="1" applyAlignment="1">
      <alignment horizontal="center"/>
    </xf>
    <xf numFmtId="44" fontId="0" fillId="5" borderId="1" xfId="2" applyFont="1" applyFill="1" applyBorder="1" applyAlignment="1">
      <alignment horizontal="right" vertical="center" wrapText="1"/>
    </xf>
    <xf numFmtId="166" fontId="0" fillId="4" borderId="1" xfId="0" applyNumberFormat="1" applyFill="1" applyBorder="1" applyAlignment="1">
      <alignment horizontal="right" vertical="center" wrapText="1"/>
    </xf>
    <xf numFmtId="0" fontId="5" fillId="4" borderId="1" xfId="0" applyFont="1" applyFill="1" applyBorder="1"/>
    <xf numFmtId="165" fontId="5" fillId="4" borderId="1" xfId="1" applyNumberFormat="1" applyFont="1" applyFill="1" applyBorder="1" applyAlignment="1">
      <alignment horizontal="right" vertical="center" wrapText="1"/>
    </xf>
    <xf numFmtId="164" fontId="5" fillId="4" borderId="1" xfId="1" applyNumberFormat="1" applyFont="1" applyFill="1" applyBorder="1" applyAlignment="1">
      <alignment horizontal="right" vertical="center" wrapText="1"/>
    </xf>
    <xf numFmtId="0" fontId="2" fillId="0" borderId="1" xfId="0" applyFont="1" applyBorder="1" applyAlignment="1">
      <alignment horizontal="center"/>
    </xf>
    <xf numFmtId="0" fontId="3" fillId="0" borderId="0" xfId="0" applyFont="1"/>
    <xf numFmtId="0" fontId="10" fillId="0" borderId="0" xfId="0" applyFont="1"/>
    <xf numFmtId="2" fontId="3" fillId="0" borderId="0" xfId="0" applyNumberFormat="1" applyFont="1"/>
    <xf numFmtId="168" fontId="3" fillId="0" borderId="0" xfId="0" applyNumberFormat="1" applyFont="1"/>
    <xf numFmtId="0" fontId="2" fillId="0" borderId="5" xfId="0" applyFont="1" applyBorder="1" applyAlignment="1">
      <alignment horizontal="center"/>
    </xf>
    <xf numFmtId="0" fontId="0" fillId="5" borderId="1" xfId="3" applyNumberFormat="1" applyFont="1" applyFill="1" applyBorder="1" applyAlignment="1">
      <alignment horizontal="right" vertical="center" wrapText="1"/>
    </xf>
    <xf numFmtId="0" fontId="0" fillId="7" borderId="1" xfId="0" applyFill="1" applyBorder="1"/>
    <xf numFmtId="2" fontId="0" fillId="0" borderId="0" xfId="0" applyNumberFormat="1"/>
    <xf numFmtId="167" fontId="0" fillId="7" borderId="1" xfId="0" applyNumberFormat="1" applyFill="1" applyBorder="1" applyAlignment="1">
      <alignment horizontal="center"/>
    </xf>
    <xf numFmtId="170" fontId="0" fillId="5" borderId="1" xfId="2" applyNumberFormat="1" applyFont="1" applyFill="1" applyBorder="1" applyAlignment="1">
      <alignment horizontal="right" vertical="center" wrapText="1"/>
    </xf>
    <xf numFmtId="164" fontId="0" fillId="5" borderId="1" xfId="1" applyNumberFormat="1" applyFont="1" applyFill="1" applyBorder="1" applyAlignment="1">
      <alignment horizontal="right" vertical="center" wrapText="1"/>
    </xf>
    <xf numFmtId="44" fontId="5" fillId="4" borderId="1" xfId="0" applyNumberFormat="1" applyFont="1" applyFill="1" applyBorder="1" applyAlignment="1">
      <alignment horizontal="right" wrapText="1"/>
    </xf>
    <xf numFmtId="0" fontId="12" fillId="0" borderId="0" xfId="0" applyFont="1"/>
    <xf numFmtId="1" fontId="0" fillId="0" borderId="1" xfId="0" applyNumberFormat="1" applyBorder="1"/>
    <xf numFmtId="166" fontId="11" fillId="0" borderId="1" xfId="0" applyNumberFormat="1" applyFont="1" applyBorder="1" applyAlignment="1">
      <alignment horizontal="right" wrapText="1"/>
    </xf>
    <xf numFmtId="166" fontId="5" fillId="4" borderId="1" xfId="2" applyNumberFormat="1" applyFont="1" applyFill="1" applyBorder="1" applyAlignment="1">
      <alignment horizontal="right" vertical="center" wrapText="1"/>
    </xf>
    <xf numFmtId="44" fontId="0" fillId="4" borderId="1" xfId="2" applyFont="1" applyFill="1" applyBorder="1" applyAlignment="1">
      <alignment horizontal="right" vertical="center" wrapText="1"/>
    </xf>
    <xf numFmtId="0" fontId="10" fillId="0" borderId="0" xfId="0" applyFont="1" applyAlignment="1">
      <alignment horizontal="left" vertical="center"/>
    </xf>
    <xf numFmtId="166" fontId="0" fillId="4" borderId="1" xfId="2" applyNumberFormat="1" applyFont="1" applyFill="1" applyBorder="1" applyAlignment="1">
      <alignment horizontal="right" vertical="center" wrapText="1"/>
    </xf>
    <xf numFmtId="165" fontId="0" fillId="4" borderId="1" xfId="0" applyNumberFormat="1" applyFill="1" applyBorder="1"/>
    <xf numFmtId="166" fontId="0" fillId="4" borderId="1" xfId="2" applyNumberFormat="1" applyFont="1" applyFill="1" applyBorder="1"/>
    <xf numFmtId="0" fontId="3" fillId="0" borderId="1" xfId="0" applyFont="1" applyBorder="1"/>
    <xf numFmtId="0" fontId="10" fillId="0" borderId="1" xfId="0" applyFont="1" applyBorder="1"/>
    <xf numFmtId="2" fontId="3" fillId="0" borderId="1" xfId="0" applyNumberFormat="1" applyFont="1" applyBorder="1"/>
    <xf numFmtId="168" fontId="3" fillId="0" borderId="1" xfId="0" applyNumberFormat="1" applyFont="1" applyBorder="1"/>
    <xf numFmtId="0" fontId="10" fillId="0" borderId="1" xfId="0" applyFont="1" applyBorder="1" applyAlignment="1">
      <alignment horizontal="left" vertical="center"/>
    </xf>
    <xf numFmtId="164" fontId="3" fillId="0" borderId="0" xfId="0" applyNumberFormat="1" applyFont="1"/>
    <xf numFmtId="0" fontId="0" fillId="0" borderId="6" xfId="0" applyBorder="1" applyAlignment="1">
      <alignment horizontal="center"/>
    </xf>
    <xf numFmtId="0" fontId="0" fillId="0" borderId="8" xfId="0" applyBorder="1" applyAlignment="1">
      <alignment horizontal="center"/>
    </xf>
    <xf numFmtId="44" fontId="14" fillId="0" borderId="1" xfId="2" applyFont="1" applyBorder="1" applyAlignment="1">
      <alignment horizontal="right" vertical="center" wrapText="1"/>
    </xf>
    <xf numFmtId="1" fontId="0" fillId="5" borderId="1" xfId="1" applyNumberFormat="1" applyFont="1" applyFill="1" applyBorder="1" applyAlignment="1">
      <alignment horizontal="right" vertical="center" wrapText="1"/>
    </xf>
    <xf numFmtId="1" fontId="0" fillId="5" borderId="1" xfId="0" applyNumberFormat="1" applyFill="1" applyBorder="1"/>
    <xf numFmtId="164" fontId="0" fillId="4" borderId="1" xfId="1" applyNumberFormat="1" applyFont="1" applyFill="1" applyBorder="1" applyAlignment="1">
      <alignment horizontal="right" vertical="center" wrapText="1"/>
    </xf>
    <xf numFmtId="0" fontId="16" fillId="4" borderId="1" xfId="0" applyFont="1" applyFill="1" applyBorder="1"/>
    <xf numFmtId="2" fontId="0" fillId="4" borderId="1" xfId="0" applyNumberFormat="1" applyFill="1" applyBorder="1"/>
    <xf numFmtId="166" fontId="3" fillId="0" borderId="1" xfId="2" applyNumberFormat="1" applyFont="1" applyBorder="1"/>
    <xf numFmtId="44" fontId="0" fillId="2" borderId="1" xfId="2" applyFont="1" applyFill="1" applyBorder="1" applyAlignment="1">
      <alignment horizontal="right" wrapText="1"/>
    </xf>
    <xf numFmtId="44" fontId="0" fillId="4" borderId="1" xfId="2" applyFont="1" applyFill="1" applyBorder="1"/>
    <xf numFmtId="1" fontId="0" fillId="3" borderId="1" xfId="0" applyNumberFormat="1" applyFill="1" applyBorder="1"/>
    <xf numFmtId="0" fontId="0" fillId="3" borderId="1" xfId="0" applyFill="1" applyBorder="1"/>
    <xf numFmtId="165" fontId="0" fillId="2" borderId="1" xfId="1" applyNumberFormat="1" applyFont="1" applyFill="1" applyBorder="1" applyAlignment="1">
      <alignment horizontal="right" vertical="center" wrapText="1"/>
    </xf>
    <xf numFmtId="0" fontId="2" fillId="3" borderId="1" xfId="0" applyFont="1" applyFill="1" applyBorder="1" applyAlignment="1">
      <alignment horizontal="center"/>
    </xf>
    <xf numFmtId="164" fontId="0" fillId="3" borderId="1" xfId="1" applyNumberFormat="1" applyFont="1" applyFill="1" applyBorder="1" applyAlignment="1">
      <alignment horizontal="right" vertical="center" wrapText="1"/>
    </xf>
    <xf numFmtId="0" fontId="9" fillId="0" borderId="2" xfId="0" applyFont="1" applyBorder="1" applyAlignment="1">
      <alignment horizontal="center"/>
    </xf>
    <xf numFmtId="0" fontId="9" fillId="0" borderId="4" xfId="0" applyFont="1" applyBorder="1" applyAlignment="1">
      <alignment horizontal="center"/>
    </xf>
    <xf numFmtId="0" fontId="10" fillId="0" borderId="0" xfId="0" applyFont="1" applyAlignment="1">
      <alignment horizontal="center" vertical="center"/>
    </xf>
    <xf numFmtId="0" fontId="10" fillId="0" borderId="2" xfId="0" applyFont="1" applyBorder="1"/>
    <xf numFmtId="2" fontId="3" fillId="0" borderId="2" xfId="0" applyNumberFormat="1" applyFont="1" applyBorder="1"/>
    <xf numFmtId="43" fontId="0" fillId="5" borderId="1" xfId="1" applyFont="1" applyFill="1" applyBorder="1" applyAlignment="1">
      <alignment horizontal="right" vertical="center" wrapText="1"/>
    </xf>
    <xf numFmtId="9" fontId="0" fillId="5" borderId="1" xfId="3" applyFont="1" applyFill="1" applyBorder="1" applyAlignment="1">
      <alignment horizontal="right" vertical="center" wrapText="1"/>
    </xf>
    <xf numFmtId="1" fontId="0" fillId="4" borderId="1" xfId="0" applyNumberFormat="1" applyFill="1" applyBorder="1"/>
    <xf numFmtId="0" fontId="0" fillId="4" borderId="1" xfId="0" applyFill="1" applyBorder="1" applyAlignment="1">
      <alignment horizontal="left"/>
    </xf>
    <xf numFmtId="44" fontId="0" fillId="0" borderId="0" xfId="0" applyNumberFormat="1"/>
    <xf numFmtId="44" fontId="3" fillId="0" borderId="0" xfId="0" applyNumberFormat="1" applyFont="1"/>
    <xf numFmtId="169" fontId="0" fillId="4" borderId="1" xfId="2" applyNumberFormat="1" applyFont="1" applyFill="1" applyBorder="1" applyAlignment="1">
      <alignment horizontal="right" vertical="center" wrapText="1"/>
    </xf>
    <xf numFmtId="0" fontId="0" fillId="0" borderId="2" xfId="0" applyBorder="1"/>
    <xf numFmtId="1" fontId="0" fillId="0" borderId="0" xfId="0" applyNumberFormat="1"/>
    <xf numFmtId="0" fontId="7" fillId="7" borderId="1" xfId="4" applyFill="1" applyBorder="1" applyAlignment="1">
      <alignment horizontal="left"/>
    </xf>
    <xf numFmtId="0" fontId="9"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0" fillId="2" borderId="2" xfId="0" applyFill="1" applyBorder="1" applyAlignment="1">
      <alignment horizontal="left" vertical="center"/>
    </xf>
    <xf numFmtId="0" fontId="0" fillId="2" borderId="4" xfId="0" applyFill="1" applyBorder="1" applyAlignment="1">
      <alignment horizontal="left" vertical="center"/>
    </xf>
    <xf numFmtId="169" fontId="0" fillId="0" borderId="0" xfId="0" applyNumberFormat="1"/>
    <xf numFmtId="0" fontId="2" fillId="4" borderId="1" xfId="0" applyFont="1" applyFill="1" applyBorder="1"/>
    <xf numFmtId="44" fontId="3" fillId="0" borderId="1" xfId="2" applyFont="1" applyBorder="1"/>
    <xf numFmtId="169" fontId="0" fillId="5" borderId="1" xfId="0" applyNumberFormat="1" applyFill="1" applyBorder="1"/>
    <xf numFmtId="0" fontId="0" fillId="0" borderId="4" xfId="0" applyBorder="1"/>
    <xf numFmtId="0" fontId="2" fillId="0" borderId="2" xfId="0" applyFont="1" applyBorder="1" applyAlignment="1">
      <alignment vertical="center"/>
    </xf>
    <xf numFmtId="0" fontId="2" fillId="0" borderId="4" xfId="0" applyFont="1" applyBorder="1" applyAlignment="1">
      <alignment vertical="center"/>
    </xf>
    <xf numFmtId="166" fontId="0" fillId="4" borderId="1" xfId="0" applyNumberFormat="1" applyFill="1" applyBorder="1" applyAlignment="1">
      <alignment vertical="center" wrapText="1"/>
    </xf>
    <xf numFmtId="165" fontId="5" fillId="4" borderId="1" xfId="1" applyNumberFormat="1" applyFont="1" applyFill="1" applyBorder="1" applyAlignment="1">
      <alignment vertical="center" wrapText="1"/>
    </xf>
    <xf numFmtId="164" fontId="5" fillId="4" borderId="1" xfId="1" applyNumberFormat="1" applyFont="1" applyFill="1" applyBorder="1" applyAlignment="1">
      <alignment vertical="center" wrapText="1"/>
    </xf>
    <xf numFmtId="0" fontId="2" fillId="0" borderId="0" xfId="0" applyFont="1" applyAlignment="1">
      <alignment horizontal="center"/>
    </xf>
    <xf numFmtId="44" fontId="0" fillId="0" borderId="1" xfId="2" applyFont="1" applyBorder="1" applyAlignment="1"/>
    <xf numFmtId="171" fontId="0" fillId="0" borderId="1" xfId="2" applyNumberFormat="1" applyFont="1" applyBorder="1" applyAlignment="1"/>
    <xf numFmtId="0" fontId="0" fillId="2" borderId="2" xfId="0" applyFill="1" applyBorder="1" applyAlignment="1">
      <alignment vertical="center"/>
    </xf>
    <xf numFmtId="0" fontId="0" fillId="2" borderId="4" xfId="0" applyFill="1" applyBorder="1" applyAlignment="1">
      <alignment vertical="center"/>
    </xf>
    <xf numFmtId="0" fontId="2" fillId="3" borderId="1" xfId="0" applyFont="1" applyFill="1" applyBorder="1"/>
    <xf numFmtId="43" fontId="19" fillId="2" borderId="1" xfId="1" applyFont="1" applyFill="1" applyBorder="1"/>
    <xf numFmtId="44" fontId="21" fillId="0" borderId="0" xfId="0" applyNumberFormat="1" applyFont="1"/>
    <xf numFmtId="169" fontId="0" fillId="4" borderId="1" xfId="0" applyNumberFormat="1" applyFill="1" applyBorder="1"/>
    <xf numFmtId="0" fontId="7" fillId="0" borderId="1" xfId="4" applyBorder="1" applyAlignment="1">
      <alignment horizontal="left"/>
    </xf>
    <xf numFmtId="0" fontId="2" fillId="0" borderId="1" xfId="0" applyFont="1" applyBorder="1" applyAlignment="1">
      <alignment horizontal="left"/>
    </xf>
    <xf numFmtId="0" fontId="0" fillId="4" borderId="2" xfId="0" applyFill="1" applyBorder="1" applyAlignment="1">
      <alignment horizontal="left"/>
    </xf>
    <xf numFmtId="0" fontId="0" fillId="4" borderId="4" xfId="0" applyFill="1" applyBorder="1" applyAlignment="1">
      <alignment horizontal="left"/>
    </xf>
    <xf numFmtId="0" fontId="0" fillId="4" borderId="3" xfId="0" applyFill="1" applyBorder="1" applyAlignment="1">
      <alignment horizontal="left"/>
    </xf>
    <xf numFmtId="0" fontId="10" fillId="6" borderId="1" xfId="0" applyFont="1" applyFill="1" applyBorder="1" applyAlignment="1">
      <alignment horizontal="center"/>
    </xf>
    <xf numFmtId="0" fontId="2" fillId="4" borderId="1" xfId="0" applyFont="1" applyFill="1" applyBorder="1" applyAlignment="1">
      <alignment horizontal="left"/>
    </xf>
    <xf numFmtId="43" fontId="0" fillId="0" borderId="1" xfId="1" applyFont="1" applyBorder="1" applyAlignment="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0" xfId="0" applyAlignment="1">
      <alignment horizontal="left"/>
    </xf>
    <xf numFmtId="0" fontId="2" fillId="0" borderId="1"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44" fontId="0" fillId="4" borderId="1" xfId="2" applyFont="1" applyFill="1" applyBorder="1" applyAlignment="1">
      <alignment horizontal="right" wrapText="1"/>
    </xf>
    <xf numFmtId="0" fontId="22" fillId="0" borderId="0" xfId="0" applyFont="1"/>
    <xf numFmtId="164" fontId="0" fillId="6" borderId="1" xfId="1" applyNumberFormat="1" applyFont="1" applyFill="1" applyBorder="1" applyAlignment="1"/>
    <xf numFmtId="9" fontId="3" fillId="0" borderId="0" xfId="0" applyNumberFormat="1" applyFont="1"/>
    <xf numFmtId="44" fontId="0" fillId="0" borderId="0" xfId="2" applyFont="1"/>
    <xf numFmtId="173" fontId="3" fillId="0" borderId="1" xfId="3" applyNumberFormat="1" applyFont="1" applyBorder="1"/>
    <xf numFmtId="173" fontId="0" fillId="0" borderId="1" xfId="3" applyNumberFormat="1" applyFont="1" applyBorder="1"/>
    <xf numFmtId="0" fontId="7" fillId="0" borderId="1" xfId="4" applyBorder="1"/>
    <xf numFmtId="0" fontId="0" fillId="0" borderId="1" xfId="0" applyBorder="1" applyAlignment="1">
      <alignment horizontal="left"/>
    </xf>
    <xf numFmtId="0" fontId="8" fillId="6" borderId="4" xfId="0" applyFont="1" applyFill="1" applyBorder="1" applyAlignment="1">
      <alignment vertical="center"/>
    </xf>
    <xf numFmtId="0" fontId="8" fillId="6" borderId="2" xfId="0" applyFont="1" applyFill="1" applyBorder="1" applyAlignment="1">
      <alignment vertical="center"/>
    </xf>
    <xf numFmtId="174" fontId="0" fillId="2" borderId="1" xfId="0" applyNumberFormat="1" applyFill="1" applyBorder="1"/>
    <xf numFmtId="9" fontId="6" fillId="5" borderId="1" xfId="3" applyFont="1" applyFill="1" applyBorder="1" applyAlignment="1" applyProtection="1">
      <alignment horizontal="right" vertical="center"/>
      <protection locked="0"/>
    </xf>
    <xf numFmtId="165" fontId="0" fillId="5" borderId="1" xfId="1" applyNumberFormat="1" applyFont="1" applyFill="1" applyBorder="1" applyAlignment="1" applyProtection="1">
      <alignment horizontal="right" vertical="center" wrapText="1"/>
      <protection locked="0"/>
    </xf>
    <xf numFmtId="0" fontId="0" fillId="5" borderId="1" xfId="0" applyFill="1" applyBorder="1" applyAlignment="1" applyProtection="1">
      <alignment horizontal="right" vertical="center" wrapText="1"/>
      <protection locked="0"/>
    </xf>
    <xf numFmtId="0" fontId="0" fillId="5" borderId="1" xfId="0" applyFill="1" applyBorder="1" applyProtection="1">
      <protection locked="0"/>
    </xf>
    <xf numFmtId="1" fontId="0" fillId="5" borderId="1" xfId="0" applyNumberFormat="1" applyFill="1" applyBorder="1" applyProtection="1">
      <protection locked="0"/>
    </xf>
    <xf numFmtId="166" fontId="0" fillId="5" borderId="1" xfId="2" applyNumberFormat="1" applyFont="1" applyFill="1" applyBorder="1" applyAlignment="1" applyProtection="1">
      <alignment vertical="center" wrapText="1"/>
      <protection locked="0"/>
    </xf>
    <xf numFmtId="166" fontId="0" fillId="5" borderId="1" xfId="2" applyNumberFormat="1" applyFont="1" applyFill="1" applyBorder="1" applyAlignment="1" applyProtection="1">
      <alignment horizontal="right" vertical="center" wrapText="1"/>
      <protection locked="0"/>
    </xf>
    <xf numFmtId="164" fontId="0" fillId="5" borderId="1" xfId="1" applyNumberFormat="1" applyFont="1" applyFill="1" applyBorder="1" applyAlignment="1" applyProtection="1">
      <alignment horizontal="right" vertical="center" wrapText="1"/>
      <protection locked="0"/>
    </xf>
    <xf numFmtId="10" fontId="0" fillId="5" borderId="1" xfId="3" applyNumberFormat="1" applyFont="1" applyFill="1" applyBorder="1" applyAlignment="1" applyProtection="1">
      <alignment horizontal="right" vertical="center" wrapText="1"/>
      <protection locked="0"/>
    </xf>
    <xf numFmtId="1" fontId="0" fillId="5" borderId="1" xfId="1" applyNumberFormat="1" applyFont="1" applyFill="1" applyBorder="1" applyAlignment="1" applyProtection="1">
      <alignment vertical="center" wrapText="1"/>
      <protection locked="0"/>
    </xf>
    <xf numFmtId="44" fontId="0" fillId="5" borderId="1" xfId="2" applyFont="1" applyFill="1" applyBorder="1" applyAlignment="1" applyProtection="1">
      <alignment horizontal="right" vertical="center" wrapText="1"/>
      <protection locked="0"/>
    </xf>
    <xf numFmtId="0" fontId="0" fillId="5" borderId="1" xfId="3" applyNumberFormat="1" applyFont="1" applyFill="1" applyBorder="1" applyAlignment="1" applyProtection="1">
      <alignment horizontal="right" vertical="center" wrapText="1"/>
      <protection locked="0"/>
    </xf>
    <xf numFmtId="170" fontId="0" fillId="5" borderId="1" xfId="2" applyNumberFormat="1" applyFont="1" applyFill="1" applyBorder="1" applyAlignment="1" applyProtection="1">
      <alignment horizontal="right" vertical="center" wrapText="1"/>
      <protection locked="0"/>
    </xf>
    <xf numFmtId="173" fontId="0" fillId="5" borderId="1" xfId="3" applyNumberFormat="1" applyFont="1" applyFill="1" applyBorder="1" applyAlignment="1" applyProtection="1">
      <alignment horizontal="right" vertical="center" wrapText="1"/>
      <protection locked="0"/>
    </xf>
    <xf numFmtId="44" fontId="0" fillId="5" borderId="1" xfId="2" applyFont="1" applyFill="1" applyBorder="1" applyProtection="1">
      <protection locked="0"/>
    </xf>
    <xf numFmtId="43" fontId="0" fillId="5" borderId="1" xfId="1" applyFont="1" applyFill="1" applyBorder="1" applyAlignment="1" applyProtection="1">
      <alignment horizontal="right" vertical="center" wrapText="1"/>
      <protection locked="0"/>
    </xf>
    <xf numFmtId="9" fontId="0" fillId="5" borderId="1" xfId="3" applyFont="1" applyFill="1" applyBorder="1" applyAlignment="1" applyProtection="1">
      <alignment horizontal="right" vertical="center" wrapText="1"/>
      <protection locked="0"/>
    </xf>
    <xf numFmtId="1" fontId="0" fillId="5" borderId="1" xfId="1" applyNumberFormat="1" applyFont="1" applyFill="1" applyBorder="1" applyAlignment="1" applyProtection="1">
      <alignment horizontal="right" vertical="center" wrapText="1"/>
      <protection locked="0"/>
    </xf>
    <xf numFmtId="1" fontId="0" fillId="0" borderId="1" xfId="0" applyNumberFormat="1" applyBorder="1" applyProtection="1">
      <protection locked="0"/>
    </xf>
    <xf numFmtId="0" fontId="0" fillId="6" borderId="2" xfId="0" applyFill="1" applyBorder="1" applyAlignment="1">
      <alignment horizontal="left"/>
    </xf>
    <xf numFmtId="0" fontId="0" fillId="6" borderId="4" xfId="0" applyFill="1" applyBorder="1" applyAlignment="1">
      <alignment horizontal="left"/>
    </xf>
    <xf numFmtId="0" fontId="0" fillId="6" borderId="3" xfId="0" applyFill="1" applyBorder="1" applyAlignment="1">
      <alignment horizontal="left"/>
    </xf>
    <xf numFmtId="172" fontId="2" fillId="11" borderId="2" xfId="0" applyNumberFormat="1" applyFont="1" applyFill="1" applyBorder="1" applyAlignment="1">
      <alignment horizontal="center" vertical="center" wrapText="1"/>
    </xf>
    <xf numFmtId="172" fontId="2" fillId="11" borderId="3" xfId="0" applyNumberFormat="1" applyFont="1" applyFill="1" applyBorder="1" applyAlignment="1">
      <alignment horizontal="center" vertical="center" wrapText="1"/>
    </xf>
    <xf numFmtId="44" fontId="0" fillId="6" borderId="2" xfId="2" applyFont="1" applyFill="1" applyBorder="1" applyAlignment="1">
      <alignment horizontal="center"/>
    </xf>
    <xf numFmtId="44" fontId="0" fillId="6" borderId="3" xfId="2" applyFont="1" applyFill="1" applyBorder="1" applyAlignment="1">
      <alignment horizontal="center"/>
    </xf>
    <xf numFmtId="0" fontId="18" fillId="6" borderId="2" xfId="0" applyFont="1" applyFill="1" applyBorder="1" applyAlignment="1">
      <alignment horizontal="center"/>
    </xf>
    <xf numFmtId="0" fontId="18" fillId="6" borderId="4" xfId="0" applyFont="1" applyFill="1" applyBorder="1" applyAlignment="1">
      <alignment horizontal="center"/>
    </xf>
    <xf numFmtId="0" fontId="18" fillId="6" borderId="3" xfId="0" applyFont="1" applyFill="1" applyBorder="1" applyAlignment="1">
      <alignment horizontal="center"/>
    </xf>
    <xf numFmtId="0" fontId="18" fillId="6" borderId="12" xfId="0" applyFont="1" applyFill="1" applyBorder="1" applyAlignment="1">
      <alignment horizontal="center"/>
    </xf>
    <xf numFmtId="0" fontId="18" fillId="6" borderId="14" xfId="0" applyFont="1" applyFill="1" applyBorder="1" applyAlignment="1">
      <alignment horizontal="center"/>
    </xf>
    <xf numFmtId="0" fontId="18" fillId="6" borderId="13" xfId="0" applyFont="1" applyFill="1" applyBorder="1" applyAlignment="1">
      <alignment horizontal="center"/>
    </xf>
    <xf numFmtId="0" fontId="18" fillId="6" borderId="15" xfId="0" applyFont="1" applyFill="1" applyBorder="1" applyAlignment="1">
      <alignment horizontal="center"/>
    </xf>
    <xf numFmtId="0" fontId="0" fillId="6" borderId="9" xfId="0" applyFill="1" applyBorder="1" applyAlignment="1">
      <alignment horizontal="left"/>
    </xf>
    <xf numFmtId="0" fontId="0" fillId="6" borderId="10" xfId="0" applyFill="1" applyBorder="1" applyAlignment="1">
      <alignment horizontal="left"/>
    </xf>
    <xf numFmtId="0" fontId="0" fillId="6" borderId="11" xfId="0" applyFill="1" applyBorder="1" applyAlignment="1">
      <alignment horizontal="left"/>
    </xf>
    <xf numFmtId="44" fontId="0" fillId="6" borderId="9" xfId="2" applyFont="1" applyFill="1" applyBorder="1" applyAlignment="1">
      <alignment horizontal="center"/>
    </xf>
    <xf numFmtId="44" fontId="0" fillId="6" borderId="11" xfId="2" applyFont="1" applyFill="1" applyBorder="1" applyAlignment="1">
      <alignment horizontal="center"/>
    </xf>
    <xf numFmtId="0" fontId="5" fillId="4" borderId="2" xfId="0" applyFont="1" applyFill="1" applyBorder="1" applyAlignment="1">
      <alignment horizontal="left"/>
    </xf>
    <xf numFmtId="0" fontId="5" fillId="4" borderId="4" xfId="0" applyFont="1" applyFill="1" applyBorder="1" applyAlignment="1">
      <alignment horizontal="left"/>
    </xf>
    <xf numFmtId="0" fontId="5" fillId="4" borderId="3" xfId="0" applyFont="1" applyFill="1" applyBorder="1" applyAlignment="1">
      <alignment horizontal="left"/>
    </xf>
    <xf numFmtId="164" fontId="0" fillId="4" borderId="2" xfId="1" applyNumberFormat="1" applyFont="1" applyFill="1" applyBorder="1" applyAlignment="1">
      <alignment horizontal="center" vertical="center" wrapText="1"/>
    </xf>
    <xf numFmtId="164" fontId="0" fillId="4" borderId="3" xfId="1" applyNumberFormat="1"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165" fontId="17" fillId="6" borderId="2" xfId="1" applyNumberFormat="1" applyFont="1" applyFill="1" applyBorder="1" applyAlignment="1">
      <alignment horizontal="right" vertical="center" wrapText="1"/>
    </xf>
    <xf numFmtId="165" fontId="17" fillId="6" borderId="4" xfId="1" applyNumberFormat="1" applyFont="1" applyFill="1" applyBorder="1" applyAlignment="1">
      <alignment horizontal="right" vertical="center" wrapText="1"/>
    </xf>
    <xf numFmtId="165" fontId="17" fillId="6" borderId="3" xfId="1" applyNumberFormat="1" applyFont="1" applyFill="1" applyBorder="1" applyAlignment="1">
      <alignment horizontal="right" vertical="center" wrapText="1"/>
    </xf>
    <xf numFmtId="0" fontId="13" fillId="6" borderId="1" xfId="0" applyFont="1" applyFill="1" applyBorder="1" applyAlignment="1">
      <alignment horizontal="right" vertical="center"/>
    </xf>
    <xf numFmtId="0" fontId="17" fillId="6" borderId="2" xfId="0" applyFont="1" applyFill="1" applyBorder="1" applyAlignment="1">
      <alignment horizontal="right" vertical="center"/>
    </xf>
    <xf numFmtId="0" fontId="17" fillId="6" borderId="4" xfId="0" applyFont="1" applyFill="1" applyBorder="1" applyAlignment="1">
      <alignment horizontal="right" vertical="center"/>
    </xf>
    <xf numFmtId="0" fontId="17" fillId="6" borderId="3" xfId="0" applyFont="1" applyFill="1" applyBorder="1" applyAlignment="1">
      <alignment horizontal="right" vertical="center"/>
    </xf>
    <xf numFmtId="0" fontId="0" fillId="4" borderId="2" xfId="0" applyFill="1" applyBorder="1" applyAlignment="1">
      <alignment horizontal="left"/>
    </xf>
    <xf numFmtId="0" fontId="0" fillId="4" borderId="4" xfId="0" applyFill="1" applyBorder="1" applyAlignment="1">
      <alignment horizontal="left"/>
    </xf>
    <xf numFmtId="0" fontId="0" fillId="4" borderId="3" xfId="0" applyFill="1" applyBorder="1" applyAlignment="1">
      <alignment horizontal="left"/>
    </xf>
    <xf numFmtId="166" fontId="0" fillId="4" borderId="2" xfId="0" applyNumberFormat="1" applyFill="1" applyBorder="1" applyAlignment="1">
      <alignment horizontal="center" vertical="center" wrapText="1"/>
    </xf>
    <xf numFmtId="166" fontId="0" fillId="4" borderId="3" xfId="0" applyNumberFormat="1" applyFill="1" applyBorder="1" applyAlignment="1">
      <alignment horizontal="center" vertical="center" wrapText="1"/>
    </xf>
    <xf numFmtId="165" fontId="0" fillId="4" borderId="2" xfId="1" applyNumberFormat="1" applyFont="1" applyFill="1" applyBorder="1" applyAlignment="1">
      <alignment horizontal="center" vertical="center" wrapText="1"/>
    </xf>
    <xf numFmtId="165" fontId="0" fillId="4" borderId="3" xfId="1" applyNumberFormat="1" applyFont="1" applyFill="1" applyBorder="1" applyAlignment="1">
      <alignment horizontal="center" vertical="center" wrapText="1"/>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2" fillId="6" borderId="1" xfId="0" applyFont="1" applyFill="1" applyBorder="1" applyAlignment="1">
      <alignment horizontal="center"/>
    </xf>
    <xf numFmtId="0" fontId="2" fillId="4" borderId="2" xfId="0" applyFont="1" applyFill="1" applyBorder="1"/>
    <xf numFmtId="0" fontId="2" fillId="4" borderId="4" xfId="0" applyFont="1" applyFill="1" applyBorder="1"/>
    <xf numFmtId="0" fontId="2" fillId="4" borderId="3" xfId="0" applyFont="1" applyFill="1" applyBorder="1"/>
    <xf numFmtId="44" fontId="14" fillId="0" borderId="2" xfId="2" applyFont="1" applyBorder="1" applyAlignment="1">
      <alignment horizontal="center" wrapText="1"/>
    </xf>
    <xf numFmtId="44" fontId="14" fillId="0" borderId="4" xfId="2" applyFont="1" applyBorder="1" applyAlignment="1">
      <alignment horizontal="center" wrapText="1"/>
    </xf>
    <xf numFmtId="44" fontId="14" fillId="0" borderId="3" xfId="2" applyFont="1" applyBorder="1" applyAlignment="1">
      <alignment horizontal="center" wrapText="1"/>
    </xf>
    <xf numFmtId="166" fontId="14" fillId="0" borderId="2" xfId="2" applyNumberFormat="1" applyFont="1" applyBorder="1" applyAlignment="1">
      <alignment horizontal="center" wrapText="1"/>
    </xf>
    <xf numFmtId="166" fontId="14" fillId="0" borderId="4" xfId="2" applyNumberFormat="1" applyFont="1" applyBorder="1" applyAlignment="1">
      <alignment horizontal="center" wrapText="1"/>
    </xf>
    <xf numFmtId="166" fontId="14" fillId="0" borderId="3" xfId="2" applyNumberFormat="1" applyFont="1" applyBorder="1" applyAlignment="1">
      <alignment horizontal="center" wrapText="1"/>
    </xf>
    <xf numFmtId="0" fontId="2" fillId="4" borderId="1" xfId="0" applyFont="1" applyFill="1" applyBorder="1"/>
    <xf numFmtId="166" fontId="14" fillId="0" borderId="1" xfId="2" applyNumberFormat="1" applyFont="1" applyBorder="1" applyAlignment="1">
      <alignment horizontal="center" wrapText="1"/>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173" fontId="23" fillId="4" borderId="2" xfId="3" applyNumberFormat="1" applyFont="1" applyFill="1" applyBorder="1" applyAlignment="1">
      <alignment horizontal="right"/>
    </xf>
    <xf numFmtId="173" fontId="23" fillId="4" borderId="3" xfId="3" applyNumberFormat="1" applyFont="1" applyFill="1" applyBorder="1" applyAlignment="1">
      <alignment horizontal="right"/>
    </xf>
    <xf numFmtId="0" fontId="6" fillId="6" borderId="2" xfId="0" applyFont="1" applyFill="1" applyBorder="1" applyAlignment="1">
      <alignment horizontal="left" vertical="center"/>
    </xf>
    <xf numFmtId="0" fontId="6" fillId="6" borderId="4" xfId="0" applyFont="1" applyFill="1" applyBorder="1" applyAlignment="1">
      <alignment horizontal="left" vertical="center"/>
    </xf>
    <xf numFmtId="0" fontId="6" fillId="6" borderId="3" xfId="0" applyFont="1" applyFill="1" applyBorder="1" applyAlignment="1">
      <alignment horizontal="left" vertical="center"/>
    </xf>
    <xf numFmtId="0" fontId="6" fillId="5" borderId="2" xfId="0" applyFont="1" applyFill="1" applyBorder="1" applyAlignment="1" applyProtection="1">
      <alignment horizontal="right" vertical="center"/>
      <protection locked="0"/>
    </xf>
    <xf numFmtId="0" fontId="6" fillId="5" borderId="3" xfId="0" applyFont="1" applyFill="1" applyBorder="1" applyAlignment="1" applyProtection="1">
      <alignment horizontal="right" vertical="center"/>
      <protection locked="0"/>
    </xf>
    <xf numFmtId="0" fontId="6" fillId="6" borderId="1" xfId="0" applyFont="1" applyFill="1" applyBorder="1" applyAlignment="1">
      <alignment horizontal="left" vertical="center"/>
    </xf>
    <xf numFmtId="165" fontId="6" fillId="5" borderId="2" xfId="1" applyNumberFormat="1" applyFont="1" applyFill="1" applyBorder="1" applyAlignment="1" applyProtection="1">
      <alignment horizontal="right" vertical="center" wrapText="1"/>
      <protection locked="0"/>
    </xf>
    <xf numFmtId="165" fontId="6" fillId="5" borderId="3" xfId="1" applyNumberFormat="1" applyFont="1" applyFill="1" applyBorder="1" applyAlignment="1" applyProtection="1">
      <alignment horizontal="right" vertical="center" wrapText="1"/>
      <protection locked="0"/>
    </xf>
    <xf numFmtId="0" fontId="2" fillId="0" borderId="1" xfId="0" applyFont="1" applyBorder="1" applyAlignment="1">
      <alignment horizontal="center"/>
    </xf>
    <xf numFmtId="0" fontId="0" fillId="5" borderId="1" xfId="0" applyFill="1" applyBorder="1" applyAlignment="1">
      <alignment horizontal="left"/>
    </xf>
    <xf numFmtId="0" fontId="13" fillId="0" borderId="1" xfId="0" applyFont="1" applyBorder="1" applyAlignment="1">
      <alignment horizontal="center"/>
    </xf>
    <xf numFmtId="0" fontId="6" fillId="0" borderId="1" xfId="0" applyFont="1" applyBorder="1" applyAlignment="1">
      <alignment horizontal="center"/>
    </xf>
    <xf numFmtId="0" fontId="0" fillId="0" borderId="1" xfId="0" applyBorder="1" applyAlignment="1">
      <alignment horizontal="right"/>
    </xf>
    <xf numFmtId="0" fontId="0" fillId="5" borderId="1" xfId="0" applyFill="1" applyBorder="1" applyAlignment="1">
      <alignment horizontal="left" vertical="center"/>
    </xf>
    <xf numFmtId="0" fontId="0" fillId="4" borderId="1" xfId="0" applyFill="1" applyBorder="1" applyAlignment="1">
      <alignment horizontal="left" vertical="center"/>
    </xf>
    <xf numFmtId="1" fontId="0" fillId="5" borderId="1" xfId="0" applyNumberFormat="1" applyFill="1" applyBorder="1" applyAlignment="1">
      <alignment horizontal="left"/>
    </xf>
    <xf numFmtId="0" fontId="0" fillId="5" borderId="2" xfId="0" applyFill="1" applyBorder="1" applyAlignment="1">
      <alignment horizontal="left"/>
    </xf>
    <xf numFmtId="0" fontId="0" fillId="5" borderId="3" xfId="0" applyFill="1" applyBorder="1" applyAlignment="1">
      <alignment horizontal="left"/>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4" fillId="4" borderId="1" xfId="0" applyFont="1" applyFill="1" applyBorder="1" applyAlignment="1">
      <alignment horizontal="left"/>
    </xf>
    <xf numFmtId="0" fontId="0" fillId="4" borderId="1" xfId="0" applyFill="1" applyBorder="1" applyAlignment="1">
      <alignment horizontal="left"/>
    </xf>
    <xf numFmtId="0" fontId="9" fillId="0" borderId="1"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4" fillId="4" borderId="2" xfId="0" applyFont="1" applyFill="1" applyBorder="1" applyAlignment="1">
      <alignment horizontal="left"/>
    </xf>
    <xf numFmtId="0" fontId="4" fillId="4" borderId="3" xfId="0" applyFont="1" applyFill="1" applyBorder="1" applyAlignment="1">
      <alignment horizontal="left"/>
    </xf>
    <xf numFmtId="0" fontId="16" fillId="4" borderId="1" xfId="0" applyFont="1" applyFill="1" applyBorder="1" applyAlignment="1">
      <alignment horizontal="left"/>
    </xf>
    <xf numFmtId="44" fontId="5" fillId="4" borderId="6" xfId="2" applyFont="1" applyFill="1" applyBorder="1" applyAlignment="1">
      <alignment horizontal="center"/>
    </xf>
    <xf numFmtId="44" fontId="5" fillId="4" borderId="7" xfId="2" applyFont="1" applyFill="1" applyBorder="1" applyAlignment="1">
      <alignment horizontal="center"/>
    </xf>
    <xf numFmtId="0" fontId="2" fillId="6" borderId="2" xfId="0" applyFont="1" applyFill="1" applyBorder="1" applyAlignment="1">
      <alignment horizontal="center"/>
    </xf>
    <xf numFmtId="0" fontId="2" fillId="6" borderId="4" xfId="0" applyFont="1" applyFill="1" applyBorder="1" applyAlignment="1">
      <alignment horizontal="center"/>
    </xf>
    <xf numFmtId="0" fontId="2" fillId="6" borderId="3" xfId="0" applyFont="1" applyFill="1" applyBorder="1" applyAlignment="1">
      <alignment horizontal="center"/>
    </xf>
    <xf numFmtId="0" fontId="2" fillId="10" borderId="2" xfId="0" applyFont="1" applyFill="1" applyBorder="1" applyAlignment="1">
      <alignment horizontal="center"/>
    </xf>
    <xf numFmtId="0" fontId="2" fillId="10" borderId="4" xfId="0" applyFont="1" applyFill="1" applyBorder="1" applyAlignment="1">
      <alignment horizontal="center"/>
    </xf>
    <xf numFmtId="0" fontId="2" fillId="10" borderId="3" xfId="0" applyFont="1" applyFill="1" applyBorder="1" applyAlignment="1">
      <alignment horizontal="center"/>
    </xf>
    <xf numFmtId="44" fontId="5" fillId="4" borderId="8" xfId="2" applyFont="1" applyFill="1" applyBorder="1" applyAlignment="1">
      <alignment horizontal="center"/>
    </xf>
    <xf numFmtId="0" fontId="0" fillId="2" borderId="1" xfId="0" applyFill="1" applyBorder="1" applyAlignment="1">
      <alignment horizontal="left"/>
    </xf>
    <xf numFmtId="0" fontId="0" fillId="0" borderId="1" xfId="0" applyBorder="1" applyAlignment="1">
      <alignment horizontal="left" vertical="center" wrapText="1"/>
    </xf>
    <xf numFmtId="0" fontId="7" fillId="0" borderId="1" xfId="4" applyBorder="1" applyAlignment="1">
      <alignment horizontal="left"/>
    </xf>
    <xf numFmtId="0" fontId="7" fillId="0" borderId="2" xfId="4" applyBorder="1" applyAlignment="1">
      <alignment horizontal="left"/>
    </xf>
    <xf numFmtId="0" fontId="7" fillId="0" borderId="4" xfId="4" applyBorder="1" applyAlignment="1">
      <alignment horizontal="left"/>
    </xf>
    <xf numFmtId="0" fontId="7" fillId="0" borderId="3" xfId="4" applyBorder="1" applyAlignment="1">
      <alignment horizontal="left"/>
    </xf>
    <xf numFmtId="0" fontId="2" fillId="9" borderId="2" xfId="0" applyFont="1" applyFill="1" applyBorder="1" applyAlignment="1">
      <alignment horizontal="center"/>
    </xf>
    <xf numFmtId="0" fontId="2" fillId="9" borderId="4" xfId="0" applyFont="1" applyFill="1" applyBorder="1" applyAlignment="1">
      <alignment horizontal="center"/>
    </xf>
    <xf numFmtId="0" fontId="2" fillId="9" borderId="3" xfId="0" applyFont="1" applyFill="1" applyBorder="1" applyAlignment="1">
      <alignment horizontal="center"/>
    </xf>
    <xf numFmtId="0" fontId="13" fillId="8" borderId="5" xfId="0" applyFont="1" applyFill="1" applyBorder="1" applyAlignment="1">
      <alignment horizontal="center"/>
    </xf>
    <xf numFmtId="0" fontId="13" fillId="8" borderId="0" xfId="0" applyFont="1" applyFill="1" applyAlignment="1">
      <alignment horizontal="center"/>
    </xf>
    <xf numFmtId="0" fontId="0" fillId="0" borderId="2" xfId="0" applyBorder="1" applyAlignment="1">
      <alignment horizontal="right"/>
    </xf>
    <xf numFmtId="0" fontId="0" fillId="0" borderId="4" xfId="0" applyBorder="1" applyAlignment="1">
      <alignment horizontal="right"/>
    </xf>
    <xf numFmtId="0" fontId="0" fillId="0" borderId="3" xfId="0" applyBorder="1" applyAlignment="1">
      <alignment horizontal="right"/>
    </xf>
    <xf numFmtId="0" fontId="13" fillId="0" borderId="2"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7" fillId="0" borderId="1" xfId="4"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10" fillId="6" borderId="1" xfId="0" applyFont="1" applyFill="1" applyBorder="1" applyAlignment="1">
      <alignment horizontal="center"/>
    </xf>
    <xf numFmtId="0" fontId="2" fillId="4" borderId="1" xfId="0" applyFont="1" applyFill="1" applyBorder="1" applyAlignment="1">
      <alignment horizontal="left"/>
    </xf>
    <xf numFmtId="0" fontId="0" fillId="5" borderId="2" xfId="0" applyFill="1" applyBorder="1" applyAlignment="1">
      <alignment horizontal="left" vertical="center"/>
    </xf>
    <xf numFmtId="0" fontId="0" fillId="5" borderId="3" xfId="0" applyFill="1" applyBorder="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xf>
    <xf numFmtId="0" fontId="5" fillId="4" borderId="1" xfId="0" applyFont="1" applyFill="1" applyBorder="1" applyAlignment="1">
      <alignment horizontal="left"/>
    </xf>
    <xf numFmtId="44" fontId="0" fillId="0" borderId="1" xfId="2" applyFont="1" applyBorder="1" applyAlignment="1">
      <alignment horizontal="center"/>
    </xf>
    <xf numFmtId="171" fontId="0" fillId="0" borderId="1" xfId="2" applyNumberFormat="1" applyFont="1" applyBorder="1" applyAlignment="1">
      <alignment horizontal="center"/>
    </xf>
    <xf numFmtId="0" fontId="10" fillId="0" borderId="0" xfId="0" applyFont="1" applyAlignment="1">
      <alignment horizontal="center" vertical="center"/>
    </xf>
    <xf numFmtId="0" fontId="2" fillId="0" borderId="1" xfId="0" applyFont="1" applyBorder="1" applyAlignment="1">
      <alignment horizontal="center" wrapText="1"/>
    </xf>
    <xf numFmtId="0" fontId="4" fillId="0" borderId="1" xfId="0" applyFont="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164" fontId="0" fillId="6" borderId="16" xfId="1" applyNumberFormat="1" applyFont="1" applyFill="1" applyBorder="1" applyAlignment="1">
      <alignment horizontal="center"/>
    </xf>
    <xf numFmtId="164" fontId="0" fillId="6" borderId="18" xfId="1" applyNumberFormat="1" applyFont="1" applyFill="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44" fontId="0" fillId="0" borderId="2" xfId="2" applyFont="1" applyBorder="1" applyAlignment="1">
      <alignment horizontal="center"/>
    </xf>
    <xf numFmtId="44" fontId="0" fillId="0" borderId="3" xfId="2" applyFont="1" applyBorder="1" applyAlignment="1">
      <alignment horizontal="center"/>
    </xf>
    <xf numFmtId="164" fontId="0" fillId="6" borderId="2" xfId="1" applyNumberFormat="1" applyFont="1" applyFill="1" applyBorder="1" applyAlignment="1">
      <alignment horizontal="center"/>
    </xf>
    <xf numFmtId="164" fontId="0" fillId="6" borderId="3" xfId="1" applyNumberFormat="1" applyFont="1"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1" fontId="0" fillId="0" borderId="2" xfId="2" applyNumberFormat="1" applyFont="1" applyBorder="1" applyAlignment="1">
      <alignment horizontal="center"/>
    </xf>
    <xf numFmtId="171" fontId="0" fillId="0" borderId="3" xfId="2" applyNumberFormat="1"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0" fontId="10" fillId="0" borderId="1" xfId="0" applyFont="1" applyBorder="1" applyAlignment="1">
      <alignment horizontal="center" vertical="center"/>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5" borderId="4" xfId="0" applyFill="1" applyBorder="1" applyAlignment="1">
      <alignment horizontal="left"/>
    </xf>
  </cellXfs>
  <cellStyles count="6">
    <cellStyle name="Comma" xfId="1" builtinId="3"/>
    <cellStyle name="Currency" xfId="2" builtinId="4"/>
    <cellStyle name="Hyperlink" xfId="4" builtinId="8"/>
    <cellStyle name="Normal" xfId="0" builtinId="0"/>
    <cellStyle name="Normal 2" xfId="5" xr:uid="{B0D4BBFA-A362-4F6F-94BB-537BC7CA681F}"/>
    <cellStyle name="Percent" xfId="3" builtinId="5"/>
  </cellStyles>
  <dxfs count="0"/>
  <tableStyles count="0" defaultTableStyle="TableStyleMedium2" defaultPivotStyle="PivotStyleLight16"/>
  <colors>
    <mruColors>
      <color rgb="FF008C60"/>
      <color rgb="FFFFD966"/>
      <color rgb="FFF75BB4"/>
      <color rgb="FFC8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a-DK" sz="1800" b="1" i="0" baseline="0">
                <a:effectLst>
                  <a:outerShdw blurRad="50800" dist="38100" dir="5400000" algn="t" rotWithShape="0">
                    <a:srgbClr val="000000">
                      <a:alpha val="40000"/>
                    </a:srgbClr>
                  </a:outerShdw>
                </a:effectLst>
              </a:rPr>
              <a:t>Lastbiltypers (12 T) CO2e-udledning pr km</a:t>
            </a:r>
            <a:endParaRPr lang="da-DK">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da-DK"/>
        </a:p>
      </c:txPr>
    </c:title>
    <c:autoTitleDeleted val="0"/>
    <c:plotArea>
      <c:layout/>
      <c:barChart>
        <c:barDir val="col"/>
        <c:grouping val="stacked"/>
        <c:varyColors val="0"/>
        <c:ser>
          <c:idx val="0"/>
          <c:order val="0"/>
          <c:tx>
            <c:strRef>
              <c:f>'[1]12 T'!$N$1</c:f>
              <c:strCache>
                <c:ptCount val="1"/>
                <c:pt idx="0">
                  <c:v>Karosserieproduktion</c:v>
                </c:pt>
              </c:strCache>
            </c:strRef>
          </c:tx>
          <c:spPr>
            <a:solidFill>
              <a:srgbClr val="A1CEB1"/>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T'!$N$2:$N$8</c:f>
              <c:numCache>
                <c:formatCode>General</c:formatCode>
                <c:ptCount val="7"/>
                <c:pt idx="0">
                  <c:v>38.28</c:v>
                </c:pt>
                <c:pt idx="1">
                  <c:v>38.28</c:v>
                </c:pt>
                <c:pt idx="2">
                  <c:v>38.28</c:v>
                </c:pt>
                <c:pt idx="3">
                  <c:v>38.28</c:v>
                </c:pt>
                <c:pt idx="4">
                  <c:v>38.28</c:v>
                </c:pt>
                <c:pt idx="5">
                  <c:v>38.28</c:v>
                </c:pt>
                <c:pt idx="6">
                  <c:v>38.28</c:v>
                </c:pt>
              </c:numCache>
            </c:numRef>
          </c:val>
          <c:extLst>
            <c:ext xmlns:c16="http://schemas.microsoft.com/office/drawing/2014/chart" uri="{C3380CC4-5D6E-409C-BE32-E72D297353CC}">
              <c16:uniqueId val="{00000000-9160-49D7-A41D-926D9BAF5FEE}"/>
            </c:ext>
          </c:extLst>
        </c:ser>
        <c:ser>
          <c:idx val="1"/>
          <c:order val="1"/>
          <c:tx>
            <c:strRef>
              <c:f>'[1]12 T'!$O$1</c:f>
              <c:strCache>
                <c:ptCount val="1"/>
                <c:pt idx="0">
                  <c:v>Batteriproduktion</c:v>
                </c:pt>
              </c:strCache>
            </c:strRef>
          </c:tx>
          <c:spPr>
            <a:solidFill>
              <a:srgbClr val="07467B"/>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T'!$O$2:$O$8</c:f>
              <c:numCache>
                <c:formatCode>General</c:formatCode>
                <c:ptCount val="7"/>
                <c:pt idx="0">
                  <c:v>25.416666666666668</c:v>
                </c:pt>
                <c:pt idx="1">
                  <c:v>6.2016666666666671</c:v>
                </c:pt>
                <c:pt idx="2">
                  <c:v>0</c:v>
                </c:pt>
                <c:pt idx="3">
                  <c:v>0</c:v>
                </c:pt>
                <c:pt idx="4">
                  <c:v>0</c:v>
                </c:pt>
                <c:pt idx="5">
                  <c:v>0</c:v>
                </c:pt>
                <c:pt idx="6">
                  <c:v>0</c:v>
                </c:pt>
              </c:numCache>
            </c:numRef>
          </c:val>
          <c:extLst>
            <c:ext xmlns:c16="http://schemas.microsoft.com/office/drawing/2014/chart" uri="{C3380CC4-5D6E-409C-BE32-E72D297353CC}">
              <c16:uniqueId val="{00000001-9160-49D7-A41D-926D9BAF5FEE}"/>
            </c:ext>
          </c:extLst>
        </c:ser>
        <c:ser>
          <c:idx val="2"/>
          <c:order val="2"/>
          <c:tx>
            <c:strRef>
              <c:f>'[1]12 T'!$P$1</c:f>
              <c:strCache>
                <c:ptCount val="1"/>
                <c:pt idx="0">
                  <c:v>Brinttankproduktion</c:v>
                </c:pt>
              </c:strCache>
            </c:strRef>
          </c:tx>
          <c:spPr>
            <a:solidFill>
              <a:srgbClr val="76B5E4"/>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T'!$P$2:$P$8</c:f>
              <c:numCache>
                <c:formatCode>General</c:formatCode>
                <c:ptCount val="7"/>
                <c:pt idx="0">
                  <c:v>0</c:v>
                </c:pt>
                <c:pt idx="1">
                  <c:v>23.333333333333332</c:v>
                </c:pt>
                <c:pt idx="2">
                  <c:v>0</c:v>
                </c:pt>
                <c:pt idx="3">
                  <c:v>0</c:v>
                </c:pt>
                <c:pt idx="4">
                  <c:v>0</c:v>
                </c:pt>
                <c:pt idx="5">
                  <c:v>0</c:v>
                </c:pt>
                <c:pt idx="6">
                  <c:v>0</c:v>
                </c:pt>
              </c:numCache>
            </c:numRef>
          </c:val>
          <c:extLst>
            <c:ext xmlns:c16="http://schemas.microsoft.com/office/drawing/2014/chart" uri="{C3380CC4-5D6E-409C-BE32-E72D297353CC}">
              <c16:uniqueId val="{00000002-9160-49D7-A41D-926D9BAF5FEE}"/>
            </c:ext>
          </c:extLst>
        </c:ser>
        <c:ser>
          <c:idx val="3"/>
          <c:order val="3"/>
          <c:tx>
            <c:strRef>
              <c:f>'[1]12 T'!$Q$1</c:f>
              <c:strCache>
                <c:ptCount val="1"/>
                <c:pt idx="0">
                  <c:v>El- &amp; brændstofproduktion</c:v>
                </c:pt>
              </c:strCache>
            </c:strRef>
          </c:tx>
          <c:spPr>
            <a:solidFill>
              <a:srgbClr val="FEE994"/>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T'!$Q$2:$Q$8</c:f>
              <c:numCache>
                <c:formatCode>General</c:formatCode>
                <c:ptCount val="7"/>
                <c:pt idx="0">
                  <c:v>60.610000000000007</c:v>
                </c:pt>
                <c:pt idx="1">
                  <c:v>150.03547228418043</c:v>
                </c:pt>
                <c:pt idx="2">
                  <c:v>-1256.7462600000001</c:v>
                </c:pt>
                <c:pt idx="3">
                  <c:v>-321.85690835294133</c:v>
                </c:pt>
                <c:pt idx="4">
                  <c:v>688.20500000000004</c:v>
                </c:pt>
                <c:pt idx="5">
                  <c:v>114.26799999999999</c:v>
                </c:pt>
                <c:pt idx="6">
                  <c:v>747.93599999999992</c:v>
                </c:pt>
              </c:numCache>
            </c:numRef>
          </c:val>
          <c:extLst>
            <c:ext xmlns:c16="http://schemas.microsoft.com/office/drawing/2014/chart" uri="{C3380CC4-5D6E-409C-BE32-E72D297353CC}">
              <c16:uniqueId val="{00000003-9160-49D7-A41D-926D9BAF5FEE}"/>
            </c:ext>
          </c:extLst>
        </c:ser>
        <c:ser>
          <c:idx val="4"/>
          <c:order val="4"/>
          <c:tx>
            <c:strRef>
              <c:f>'[1]12 T'!$R$1</c:f>
              <c:strCache>
                <c:ptCount val="1"/>
                <c:pt idx="0">
                  <c:v>Udstødning</c:v>
                </c:pt>
              </c:strCache>
            </c:strRef>
          </c:tx>
          <c:spPr>
            <a:solidFill>
              <a:srgbClr val="F4BEB0"/>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T'!$R$2:$R$8</c:f>
              <c:numCache>
                <c:formatCode>General</c:formatCode>
                <c:ptCount val="7"/>
                <c:pt idx="0">
                  <c:v>0</c:v>
                </c:pt>
                <c:pt idx="1">
                  <c:v>0</c:v>
                </c:pt>
                <c:pt idx="2">
                  <c:v>49.285499999999999</c:v>
                </c:pt>
                <c:pt idx="3">
                  <c:v>49.285499999999999</c:v>
                </c:pt>
                <c:pt idx="4">
                  <c:v>0</c:v>
                </c:pt>
                <c:pt idx="5">
                  <c:v>0</c:v>
                </c:pt>
                <c:pt idx="6">
                  <c:v>628.47400000000005</c:v>
                </c:pt>
              </c:numCache>
            </c:numRef>
          </c:val>
          <c:extLst>
            <c:ext xmlns:c16="http://schemas.microsoft.com/office/drawing/2014/chart" uri="{C3380CC4-5D6E-409C-BE32-E72D297353CC}">
              <c16:uniqueId val="{00000004-9160-49D7-A41D-926D9BAF5FEE}"/>
            </c:ext>
          </c:extLst>
        </c:ser>
        <c:ser>
          <c:idx val="5"/>
          <c:order val="5"/>
          <c:tx>
            <c:strRef>
              <c:f>'[1]12 T'!$S$1</c:f>
              <c:strCache>
                <c:ptCount val="1"/>
                <c:pt idx="0">
                  <c:v>I alt</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tx>
                <c:rich>
                  <a:bodyPr/>
                  <a:lstStyle/>
                  <a:p>
                    <a:fld id="{332119B5-F7A0-4D87-B6F8-CD89ED67965E}"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160-49D7-A41D-926D9BAF5FEE}"/>
                </c:ext>
              </c:extLst>
            </c:dLbl>
            <c:dLbl>
              <c:idx val="1"/>
              <c:tx>
                <c:rich>
                  <a:bodyPr/>
                  <a:lstStyle/>
                  <a:p>
                    <a:fld id="{1EAD815E-B632-4443-9FB6-3354D64BC43A}"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160-49D7-A41D-926D9BAF5FEE}"/>
                </c:ext>
              </c:extLst>
            </c:dLbl>
            <c:dLbl>
              <c:idx val="2"/>
              <c:tx>
                <c:rich>
                  <a:bodyPr/>
                  <a:lstStyle/>
                  <a:p>
                    <a:fld id="{AA5190CE-5F16-465F-B8CA-E1412BD2FCF3}"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160-49D7-A41D-926D9BAF5FEE}"/>
                </c:ext>
              </c:extLst>
            </c:dLbl>
            <c:dLbl>
              <c:idx val="3"/>
              <c:tx>
                <c:rich>
                  <a:bodyPr/>
                  <a:lstStyle/>
                  <a:p>
                    <a:fld id="{6AE76FB6-A461-4D4E-8F79-382D42EB1A57}"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160-49D7-A41D-926D9BAF5FEE}"/>
                </c:ext>
              </c:extLst>
            </c:dLbl>
            <c:dLbl>
              <c:idx val="4"/>
              <c:tx>
                <c:rich>
                  <a:bodyPr/>
                  <a:lstStyle/>
                  <a:p>
                    <a:fld id="{3D7EA4E1-F7C0-4721-AEE1-BB0D9FE1147A}"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160-49D7-A41D-926D9BAF5FEE}"/>
                </c:ext>
              </c:extLst>
            </c:dLbl>
            <c:dLbl>
              <c:idx val="5"/>
              <c:tx>
                <c:rich>
                  <a:bodyPr/>
                  <a:lstStyle/>
                  <a:p>
                    <a:fld id="{D7A5407E-522E-4BED-849E-73B5F23FFA16}"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160-49D7-A41D-926D9BAF5FEE}"/>
                </c:ext>
              </c:extLst>
            </c:dLbl>
            <c:dLbl>
              <c:idx val="6"/>
              <c:tx>
                <c:rich>
                  <a:bodyPr/>
                  <a:lstStyle/>
                  <a:p>
                    <a:fld id="{CA33477B-2E62-4A7F-B465-49628C48C99B}"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160-49D7-A41D-926D9BAF5F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lt1">
                          <a:lumMod val="95000"/>
                          <a:alpha val="54000"/>
                        </a:schemeClr>
                      </a:solidFill>
                    </a:ln>
                    <a:effectLst/>
                  </c:spPr>
                </c15:leaderLines>
              </c:ext>
            </c:extLst>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T'!$S$2:$S$8</c:f>
              <c:numCache>
                <c:formatCode>General</c:formatCode>
                <c:ptCount val="7"/>
                <c:pt idx="0">
                  <c:v>1E-14</c:v>
                </c:pt>
                <c:pt idx="1">
                  <c:v>1E-14</c:v>
                </c:pt>
                <c:pt idx="2">
                  <c:v>1E-14</c:v>
                </c:pt>
                <c:pt idx="3">
                  <c:v>1E-14</c:v>
                </c:pt>
                <c:pt idx="4">
                  <c:v>1E-14</c:v>
                </c:pt>
                <c:pt idx="5">
                  <c:v>1E-14</c:v>
                </c:pt>
                <c:pt idx="6">
                  <c:v>1E-14</c:v>
                </c:pt>
              </c:numCache>
            </c:numRef>
          </c:val>
          <c:extLst>
            <c:ext xmlns:c15="http://schemas.microsoft.com/office/drawing/2012/chart" uri="{02D57815-91ED-43cb-92C2-25804820EDAC}">
              <c15:datalabelsRange>
                <c15:f>'[1]12 T'!$T$2:$T$8</c15:f>
                <c15:dlblRangeCache>
                  <c:ptCount val="7"/>
                  <c:pt idx="0">
                    <c:v>Total 124,31</c:v>
                  </c:pt>
                  <c:pt idx="1">
                    <c:v>Total 217,85</c:v>
                  </c:pt>
                  <c:pt idx="2">
                    <c:v>Total -1169,18</c:v>
                  </c:pt>
                  <c:pt idx="3">
                    <c:v>Total -234,29</c:v>
                  </c:pt>
                  <c:pt idx="4">
                    <c:v>Total 726,49</c:v>
                  </c:pt>
                  <c:pt idx="5">
                    <c:v>Total 152,55</c:v>
                  </c:pt>
                  <c:pt idx="6">
                    <c:v>Total 1414,69</c:v>
                  </c:pt>
                </c15:dlblRangeCache>
              </c15:datalabelsRange>
            </c:ext>
            <c:ext xmlns:c16="http://schemas.microsoft.com/office/drawing/2014/chart" uri="{C3380CC4-5D6E-409C-BE32-E72D297353CC}">
              <c16:uniqueId val="{0000000C-9160-49D7-A41D-926D9BAF5FEE}"/>
            </c:ext>
          </c:extLst>
        </c:ser>
        <c:ser>
          <c:idx val="6"/>
          <c:order val="6"/>
          <c:tx>
            <c:strRef>
              <c:f>'[1]12 T'!$T$1</c:f>
              <c:strCache>
                <c:ptCount val="1"/>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T'!$T$2:$T$8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9160-49D7-A41D-926D9BAF5FEE}"/>
            </c:ext>
          </c:extLst>
        </c:ser>
        <c:dLbls>
          <c:dLblPos val="ctr"/>
          <c:showLegendKey val="0"/>
          <c:showVal val="1"/>
          <c:showCatName val="0"/>
          <c:showSerName val="0"/>
          <c:showPercent val="0"/>
          <c:showBubbleSize val="0"/>
        </c:dLbls>
        <c:gapWidth val="150"/>
        <c:overlap val="100"/>
        <c:axId val="708416216"/>
        <c:axId val="708410640"/>
      </c:barChart>
      <c:catAx>
        <c:axId val="708416216"/>
        <c:scaling>
          <c:orientation val="minMax"/>
        </c:scaling>
        <c:delete val="0"/>
        <c:axPos val="b"/>
        <c:numFmt formatCode="General" sourceLinked="1"/>
        <c:majorTickMark val="none"/>
        <c:minorTickMark val="none"/>
        <c:tickLblPos val="high"/>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0" u="none" strike="noStrike" kern="1200" baseline="0">
                <a:solidFill>
                  <a:schemeClr val="lt1">
                    <a:lumMod val="85000"/>
                  </a:schemeClr>
                </a:solidFill>
                <a:latin typeface="+mn-lt"/>
                <a:ea typeface="+mn-ea"/>
                <a:cs typeface="+mn-cs"/>
              </a:defRPr>
            </a:pPr>
            <a:endParaRPr lang="da-DK"/>
          </a:p>
        </c:txPr>
        <c:crossAx val="708410640"/>
        <c:crosses val="autoZero"/>
        <c:auto val="1"/>
        <c:lblAlgn val="ctr"/>
        <c:lblOffset val="100"/>
        <c:noMultiLvlLbl val="0"/>
      </c:catAx>
      <c:valAx>
        <c:axId val="70841064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da-DK"/>
                  <a:t>g CO2e/km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a-DK"/>
          </a:p>
        </c:txPr>
        <c:crossAx val="708416216"/>
        <c:crosses val="autoZero"/>
        <c:crossBetween val="between"/>
      </c:valAx>
      <c:spPr>
        <a:noFill/>
        <a:ln>
          <a:noFill/>
        </a:ln>
        <a:effectLst/>
      </c:spPr>
    </c:plotArea>
    <c:legend>
      <c:legendPos val="b"/>
      <c:legendEntry>
        <c:idx val="5"/>
        <c:delete val="1"/>
      </c:legendEntry>
      <c:legendEntry>
        <c:idx val="6"/>
        <c:delete val="1"/>
      </c:legendEntry>
      <c:layout>
        <c:manualLayout>
          <c:xMode val="edge"/>
          <c:yMode val="edge"/>
          <c:x val="1.8080174963297873E-2"/>
          <c:y val="0.92215100556515595"/>
          <c:w val="0.96222213330742101"/>
          <c:h val="6.50831114436756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414C6A">
        <a:alpha val="75000"/>
      </a:srgbClr>
    </a:solidFill>
    <a:ln>
      <a:noFill/>
    </a:ln>
    <a:effectLst/>
  </c:spPr>
  <c:txPr>
    <a:bodyPr/>
    <a:lstStyle/>
    <a:p>
      <a:pPr>
        <a:defRPr/>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Omkostningstillæg som følge af afgifter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'Dataark TCO'!$F$21</c:f>
              <c:strCache>
                <c:ptCount val="1"/>
                <c:pt idx="0">
                  <c:v>El</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TCO'!$G$20:$L$20</c:f>
              <c:numCache>
                <c:formatCode>General</c:formatCode>
                <c:ptCount val="6"/>
                <c:pt idx="0">
                  <c:v>2024</c:v>
                </c:pt>
                <c:pt idx="1">
                  <c:v>2025</c:v>
                </c:pt>
                <c:pt idx="2">
                  <c:v>2026</c:v>
                </c:pt>
                <c:pt idx="3">
                  <c:v>2027</c:v>
                </c:pt>
                <c:pt idx="4">
                  <c:v>2028</c:v>
                </c:pt>
                <c:pt idx="5">
                  <c:v>2029</c:v>
                </c:pt>
              </c:numCache>
            </c:numRef>
          </c:cat>
          <c:val>
            <c:numRef>
              <c:f>'Dataark TCO'!$G$21:$L$21</c:f>
              <c:numCache>
                <c:formatCode>0.0%</c:formatCode>
                <c:ptCount val="6"/>
                <c:pt idx="0">
                  <c:v>1.5544166293916964E-2</c:v>
                </c:pt>
                <c:pt idx="1">
                  <c:v>2.4186463241393893E-2</c:v>
                </c:pt>
                <c:pt idx="2">
                  <c:v>2.4186463241393893E-2</c:v>
                </c:pt>
                <c:pt idx="3">
                  <c:v>2.4186463241393893E-2</c:v>
                </c:pt>
                <c:pt idx="4">
                  <c:v>3.1700678828538852E-2</c:v>
                </c:pt>
                <c:pt idx="5">
                  <c:v>3.8273348753276565E-2</c:v>
                </c:pt>
              </c:numCache>
            </c:numRef>
          </c:val>
          <c:smooth val="0"/>
          <c:extLst>
            <c:ext xmlns:c16="http://schemas.microsoft.com/office/drawing/2014/chart" uri="{C3380CC4-5D6E-409C-BE32-E72D297353CC}">
              <c16:uniqueId val="{00000000-BFB9-44E7-9E35-870AA0D9539B}"/>
            </c:ext>
          </c:extLst>
        </c:ser>
        <c:ser>
          <c:idx val="1"/>
          <c:order val="1"/>
          <c:tx>
            <c:strRef>
              <c:f>'Dataark TCO'!$F$22</c:f>
              <c:strCache>
                <c:ptCount val="1"/>
                <c:pt idx="0">
                  <c:v>Diesel</c:v>
                </c:pt>
              </c:strCache>
            </c:strRef>
          </c:tx>
          <c:spPr>
            <a:ln w="22225" cap="rnd">
              <a:solidFill>
                <a:schemeClr val="accent2"/>
              </a:solidFill>
              <a:round/>
            </a:ln>
            <a:effectLst/>
          </c:spPr>
          <c:marker>
            <c:symbol val="circle"/>
            <c:size val="6"/>
            <c:spPr>
              <a:solidFill>
                <a:schemeClr val="lt1"/>
              </a:solidFill>
              <a:ln w="1587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TCO'!$G$20:$L$20</c:f>
              <c:numCache>
                <c:formatCode>General</c:formatCode>
                <c:ptCount val="6"/>
                <c:pt idx="0">
                  <c:v>2024</c:v>
                </c:pt>
                <c:pt idx="1">
                  <c:v>2025</c:v>
                </c:pt>
                <c:pt idx="2">
                  <c:v>2026</c:v>
                </c:pt>
                <c:pt idx="3">
                  <c:v>2027</c:v>
                </c:pt>
                <c:pt idx="4">
                  <c:v>2028</c:v>
                </c:pt>
                <c:pt idx="5">
                  <c:v>2029</c:v>
                </c:pt>
              </c:numCache>
            </c:numRef>
          </c:cat>
          <c:val>
            <c:numRef>
              <c:f>'Dataark TCO'!$G$22:$L$22</c:f>
              <c:numCache>
                <c:formatCode>0.0%</c:formatCode>
                <c:ptCount val="6"/>
                <c:pt idx="0">
                  <c:v>1.5624047024756761E-2</c:v>
                </c:pt>
                <c:pt idx="1">
                  <c:v>0.10119565652164494</c:v>
                </c:pt>
                <c:pt idx="2">
                  <c:v>0.10119565652164494</c:v>
                </c:pt>
                <c:pt idx="3">
                  <c:v>0.10119565652164494</c:v>
                </c:pt>
                <c:pt idx="4">
                  <c:v>0.15956059180802873</c:v>
                </c:pt>
                <c:pt idx="5">
                  <c:v>0.17825539880451213</c:v>
                </c:pt>
              </c:numCache>
            </c:numRef>
          </c:val>
          <c:smooth val="0"/>
          <c:extLst>
            <c:ext xmlns:c16="http://schemas.microsoft.com/office/drawing/2014/chart" uri="{C3380CC4-5D6E-409C-BE32-E72D297353CC}">
              <c16:uniqueId val="{00000002-BFB9-44E7-9E35-870AA0D9539B}"/>
            </c:ext>
          </c:extLst>
        </c:ser>
        <c:dLbls>
          <c:dLblPos val="t"/>
          <c:showLegendKey val="0"/>
          <c:showVal val="1"/>
          <c:showCatName val="0"/>
          <c:showSerName val="0"/>
          <c:showPercent val="0"/>
          <c:showBubbleSize val="0"/>
        </c:dLbls>
        <c:marker val="1"/>
        <c:smooth val="0"/>
        <c:axId val="1667937343"/>
        <c:axId val="1667938783"/>
      </c:lineChart>
      <c:catAx>
        <c:axId val="1667937343"/>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667938783"/>
        <c:crosses val="autoZero"/>
        <c:auto val="1"/>
        <c:lblAlgn val="ctr"/>
        <c:lblOffset val="100"/>
        <c:noMultiLvlLbl val="0"/>
      </c:catAx>
      <c:valAx>
        <c:axId val="1667938783"/>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1667937343"/>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9946091699475063"/>
          <c:y val="0.94745493369873757"/>
          <c:w val="0.62669586614173212"/>
          <c:h val="3.209592144845437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Afgiftsomkostninger</a:t>
            </a:r>
            <a:r>
              <a:rPr lang="da-DK" baseline="0">
                <a:solidFill>
                  <a:sysClr val="windowText" lastClr="000000"/>
                </a:solidFill>
              </a:rPr>
              <a:t> pr km (DKK) (Danmark)</a:t>
            </a:r>
            <a:endParaRPr lang="da-DK">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Afgifter!$B$61</c:f>
              <c:strCache>
                <c:ptCount val="1"/>
                <c:pt idx="0">
                  <c:v>Ellastbil</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Afgifter!$C$60:$I$60</c:f>
              <c:strCache>
                <c:ptCount val="7"/>
                <c:pt idx="0">
                  <c:v>2024</c:v>
                </c:pt>
                <c:pt idx="1">
                  <c:v>2025</c:v>
                </c:pt>
                <c:pt idx="2">
                  <c:v>2026</c:v>
                </c:pt>
                <c:pt idx="3">
                  <c:v>2027</c:v>
                </c:pt>
                <c:pt idx="4">
                  <c:v>2028</c:v>
                </c:pt>
                <c:pt idx="5">
                  <c:v>2029</c:v>
                </c:pt>
                <c:pt idx="6">
                  <c:v>2030 og frem</c:v>
                </c:pt>
              </c:strCache>
            </c:strRef>
          </c:cat>
          <c:val>
            <c:numRef>
              <c:f>Afgifter!$C$61:$I$61</c:f>
              <c:numCache>
                <c:formatCode>0.00</c:formatCode>
                <c:ptCount val="7"/>
                <c:pt idx="0">
                  <c:v>6.1999999999999998E-3</c:v>
                </c:pt>
                <c:pt idx="1">
                  <c:v>0.1008</c:v>
                </c:pt>
                <c:pt idx="2">
                  <c:v>0.1008</c:v>
                </c:pt>
                <c:pt idx="3">
                  <c:v>0.1008</c:v>
                </c:pt>
                <c:pt idx="4">
                  <c:v>0.1864137860082305</c:v>
                </c:pt>
                <c:pt idx="5">
                  <c:v>0.26129999999999998</c:v>
                </c:pt>
                <c:pt idx="6">
                  <c:v>0.26129999999999998</c:v>
                </c:pt>
              </c:numCache>
            </c:numRef>
          </c:val>
          <c:smooth val="0"/>
          <c:extLst>
            <c:ext xmlns:c16="http://schemas.microsoft.com/office/drawing/2014/chart" uri="{C3380CC4-5D6E-409C-BE32-E72D297353CC}">
              <c16:uniqueId val="{00000000-3D0D-4FD8-857A-1B57020A815E}"/>
            </c:ext>
          </c:extLst>
        </c:ser>
        <c:ser>
          <c:idx val="1"/>
          <c:order val="1"/>
          <c:tx>
            <c:strRef>
              <c:f>Afgifter!$B$62</c:f>
              <c:strCache>
                <c:ptCount val="1"/>
                <c:pt idx="0">
                  <c:v>Diesel</c:v>
                </c:pt>
              </c:strCache>
            </c:strRef>
          </c:tx>
          <c:spPr>
            <a:ln w="2222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Afgifter!$C$60:$I$60</c:f>
              <c:strCache>
                <c:ptCount val="7"/>
                <c:pt idx="0">
                  <c:v>2024</c:v>
                </c:pt>
                <c:pt idx="1">
                  <c:v>2025</c:v>
                </c:pt>
                <c:pt idx="2">
                  <c:v>2026</c:v>
                </c:pt>
                <c:pt idx="3">
                  <c:v>2027</c:v>
                </c:pt>
                <c:pt idx="4">
                  <c:v>2028</c:v>
                </c:pt>
                <c:pt idx="5">
                  <c:v>2029</c:v>
                </c:pt>
                <c:pt idx="6">
                  <c:v>2030 og frem</c:v>
                </c:pt>
              </c:strCache>
            </c:strRef>
          </c:cat>
          <c:val>
            <c:numRef>
              <c:f>Afgifter!$C$62:$I$62</c:f>
              <c:numCache>
                <c:formatCode>0.00</c:formatCode>
                <c:ptCount val="7"/>
                <c:pt idx="0">
                  <c:v>6.1999999999999998E-3</c:v>
                </c:pt>
                <c:pt idx="1">
                  <c:v>0.85250000000000004</c:v>
                </c:pt>
                <c:pt idx="2">
                  <c:v>0.85250000000000004</c:v>
                </c:pt>
                <c:pt idx="3">
                  <c:v>0.85250000000000004</c:v>
                </c:pt>
                <c:pt idx="4">
                  <c:v>1.4323643121752321</c:v>
                </c:pt>
                <c:pt idx="5">
                  <c:v>1.6181000000000001</c:v>
                </c:pt>
                <c:pt idx="6">
                  <c:v>1.6181000000000001</c:v>
                </c:pt>
              </c:numCache>
            </c:numRef>
          </c:val>
          <c:smooth val="0"/>
          <c:extLst>
            <c:ext xmlns:c16="http://schemas.microsoft.com/office/drawing/2014/chart" uri="{C3380CC4-5D6E-409C-BE32-E72D297353CC}">
              <c16:uniqueId val="{00000001-3D0D-4FD8-857A-1B57020A815E}"/>
            </c:ext>
          </c:extLst>
        </c:ser>
        <c:ser>
          <c:idx val="2"/>
          <c:order val="2"/>
          <c:tx>
            <c:strRef>
              <c:f>Afgifter!#REF!</c:f>
              <c:strCache>
                <c:ptCount val="1"/>
                <c:pt idx="0">
                  <c:v>#REF!</c:v>
                </c:pt>
              </c:strCache>
            </c:strRef>
          </c:tx>
          <c:spPr>
            <a:ln w="22225" cap="rnd">
              <a:solidFill>
                <a:schemeClr val="accent3"/>
              </a:solidFill>
              <a:round/>
            </a:ln>
            <a:effectLst/>
          </c:spPr>
          <c:marker>
            <c:symbol val="none"/>
          </c:marker>
          <c:dLbls>
            <c:delete val="1"/>
          </c:dLbls>
          <c:cat>
            <c:strRef>
              <c:f>Afgifter!$C$60:$I$60</c:f>
              <c:strCache>
                <c:ptCount val="7"/>
                <c:pt idx="0">
                  <c:v>2024</c:v>
                </c:pt>
                <c:pt idx="1">
                  <c:v>2025</c:v>
                </c:pt>
                <c:pt idx="2">
                  <c:v>2026</c:v>
                </c:pt>
                <c:pt idx="3">
                  <c:v>2027</c:v>
                </c:pt>
                <c:pt idx="4">
                  <c:v>2028</c:v>
                </c:pt>
                <c:pt idx="5">
                  <c:v>2029</c:v>
                </c:pt>
                <c:pt idx="6">
                  <c:v>2030 og frem</c:v>
                </c:pt>
              </c:strCache>
            </c:strRef>
          </c:cat>
          <c:val>
            <c:numRef>
              <c:f>Afgifter!#REF!</c:f>
              <c:numCache>
                <c:formatCode>General</c:formatCode>
                <c:ptCount val="1"/>
                <c:pt idx="0">
                  <c:v>1</c:v>
                </c:pt>
              </c:numCache>
            </c:numRef>
          </c:val>
          <c:smooth val="0"/>
          <c:extLst>
            <c:ext xmlns:c16="http://schemas.microsoft.com/office/drawing/2014/chart" uri="{C3380CC4-5D6E-409C-BE32-E72D297353CC}">
              <c16:uniqueId val="{00000002-3D0D-4FD8-857A-1B57020A815E}"/>
            </c:ext>
          </c:extLst>
        </c:ser>
        <c:dLbls>
          <c:dLblPos val="t"/>
          <c:showLegendKey val="0"/>
          <c:showVal val="1"/>
          <c:showCatName val="0"/>
          <c:showSerName val="0"/>
          <c:showPercent val="0"/>
          <c:showBubbleSize val="0"/>
        </c:dLbls>
        <c:smooth val="0"/>
        <c:axId val="82325792"/>
        <c:axId val="81222720"/>
      </c:lineChart>
      <c:catAx>
        <c:axId val="823257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81222720"/>
        <c:crosses val="autoZero"/>
        <c:auto val="1"/>
        <c:lblAlgn val="ctr"/>
        <c:lblOffset val="100"/>
        <c:noMultiLvlLbl val="0"/>
      </c:catAx>
      <c:valAx>
        <c:axId val="81222720"/>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82325792"/>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2"/>
        <c:delete val="1"/>
      </c:legendEntry>
      <c:layout>
        <c:manualLayout>
          <c:xMode val="edge"/>
          <c:yMode val="edge"/>
          <c:x val="1.2133795275590576E-2"/>
          <c:y val="0.90949508166078652"/>
          <c:w val="0.93519907611548536"/>
          <c:h val="6.67660459356527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Pris</a:t>
            </a:r>
            <a:r>
              <a:rPr lang="da-DK" baseline="0">
                <a:solidFill>
                  <a:sysClr val="windowText" lastClr="000000"/>
                </a:solidFill>
              </a:rPr>
              <a:t> pr km pr år</a:t>
            </a:r>
            <a:endParaRPr lang="da-DK">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manualLayout>
          <c:layoutTarget val="inner"/>
          <c:xMode val="edge"/>
          <c:yMode val="edge"/>
          <c:x val="8.4672257378092766E-2"/>
          <c:y val="5.9294990662206191E-2"/>
          <c:w val="0.89849100928081238"/>
          <c:h val="0.83559494715040206"/>
        </c:manualLayout>
      </c:layout>
      <c:lineChart>
        <c:grouping val="standard"/>
        <c:varyColors val="0"/>
        <c:ser>
          <c:idx val="3"/>
          <c:order val="0"/>
          <c:tx>
            <c:strRef>
              <c:f>'Dataark TCO'!$AB$3</c:f>
              <c:strCache>
                <c:ptCount val="1"/>
                <c:pt idx="0">
                  <c:v>El</c:v>
                </c:pt>
              </c:strCache>
            </c:strRef>
          </c:tx>
          <c:spPr>
            <a:ln w="2222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TCO'!$W$3:$AH$3</c:f>
              <c:numCache>
                <c:formatCode>0.00</c:formatCode>
                <c:ptCount val="12"/>
                <c:pt idx="0">
                  <c:v>1.3414666666666666</c:v>
                </c:pt>
                <c:pt idx="1">
                  <c:v>0.17710363927279796</c:v>
                </c:pt>
                <c:pt idx="2" formatCode="General">
                  <c:v>1E-14</c:v>
                </c:pt>
                <c:pt idx="3" formatCode="0.0000">
                  <c:v>0</c:v>
                </c:pt>
                <c:pt idx="5" formatCode="General">
                  <c:v>0</c:v>
                </c:pt>
                <c:pt idx="6">
                  <c:v>11.57</c:v>
                </c:pt>
                <c:pt idx="7">
                  <c:v>11.67</c:v>
                </c:pt>
                <c:pt idx="8">
                  <c:v>11.67</c:v>
                </c:pt>
                <c:pt idx="9">
                  <c:v>11.67</c:v>
                </c:pt>
                <c:pt idx="10">
                  <c:v>11.75</c:v>
                </c:pt>
                <c:pt idx="11">
                  <c:v>11.83</c:v>
                </c:pt>
              </c:numCache>
            </c:numRef>
          </c:val>
          <c:smooth val="0"/>
          <c:extLst>
            <c:ext xmlns:c16="http://schemas.microsoft.com/office/drawing/2014/chart" uri="{C3380CC4-5D6E-409C-BE32-E72D297353CC}">
              <c16:uniqueId val="{00000000-B1C7-483F-8686-9899C5DC68C0}"/>
            </c:ext>
          </c:extLst>
        </c:ser>
        <c:ser>
          <c:idx val="4"/>
          <c:order val="1"/>
          <c:tx>
            <c:strRef>
              <c:f>'Dataark TCO'!$AB$4</c:f>
              <c:strCache>
                <c:ptCount val="1"/>
                <c:pt idx="0">
                  <c:v>Diesel</c:v>
                </c:pt>
              </c:strCache>
            </c:strRef>
          </c:tx>
          <c:spPr>
            <a:ln w="2222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TCO'!$W$4:$AH$4</c:f>
              <c:numCache>
                <c:formatCode>0.00</c:formatCode>
                <c:ptCount val="12"/>
                <c:pt idx="0">
                  <c:v>1.3414666666666666</c:v>
                </c:pt>
                <c:pt idx="1">
                  <c:v>0.27557030593946463</c:v>
                </c:pt>
                <c:pt idx="2" formatCode="General">
                  <c:v>1E-14</c:v>
                </c:pt>
                <c:pt idx="3" formatCode="0.0000">
                  <c:v>0</c:v>
                </c:pt>
                <c:pt idx="5" formatCode="General">
                  <c:v>0</c:v>
                </c:pt>
                <c:pt idx="6">
                  <c:v>10.09</c:v>
                </c:pt>
                <c:pt idx="7">
                  <c:v>10.94</c:v>
                </c:pt>
                <c:pt idx="8">
                  <c:v>10.94</c:v>
                </c:pt>
                <c:pt idx="9">
                  <c:v>10.94</c:v>
                </c:pt>
                <c:pt idx="10">
                  <c:v>11.52</c:v>
                </c:pt>
                <c:pt idx="11">
                  <c:v>11.71</c:v>
                </c:pt>
              </c:numCache>
            </c:numRef>
          </c:val>
          <c:smooth val="0"/>
          <c:extLst>
            <c:ext xmlns:c16="http://schemas.microsoft.com/office/drawing/2014/chart" uri="{C3380CC4-5D6E-409C-BE32-E72D297353CC}">
              <c16:uniqueId val="{00000001-B1C7-483F-8686-9899C5DC68C0}"/>
            </c:ext>
          </c:extLst>
        </c:ser>
        <c:ser>
          <c:idx val="5"/>
          <c:order val="2"/>
          <c:tx>
            <c:strRef>
              <c:f>'Dataark TCO'!$AB$5</c:f>
              <c:strCache>
                <c:ptCount val="1"/>
              </c:strCache>
            </c:strRef>
          </c:tx>
          <c:spPr>
            <a:ln w="2222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TCO'!$W$5:$AH$5</c:f>
              <c:numCache>
                <c:formatCode>0.00</c:formatCode>
                <c:ptCount val="12"/>
                <c:pt idx="0">
                  <c:v>1.3414666666666666</c:v>
                </c:pt>
                <c:pt idx="1">
                  <c:v>0.27557030593946463</c:v>
                </c:pt>
                <c:pt idx="2" formatCode="General">
                  <c:v>1E-14</c:v>
                </c:pt>
                <c:pt idx="3" formatCode="0.0000">
                  <c:v>0</c:v>
                </c:pt>
              </c:numCache>
            </c:numRef>
          </c:val>
          <c:smooth val="0"/>
          <c:extLst>
            <c:ext xmlns:c16="http://schemas.microsoft.com/office/drawing/2014/chart" uri="{C3380CC4-5D6E-409C-BE32-E72D297353CC}">
              <c16:uniqueId val="{00000002-B1C7-483F-8686-9899C5DC68C0}"/>
            </c:ext>
          </c:extLst>
        </c:ser>
        <c:dLbls>
          <c:dLblPos val="t"/>
          <c:showLegendKey val="0"/>
          <c:showVal val="1"/>
          <c:showCatName val="0"/>
          <c:showSerName val="0"/>
          <c:showPercent val="0"/>
          <c:showBubbleSize val="0"/>
        </c:dLbls>
        <c:smooth val="0"/>
        <c:axId val="30224352"/>
        <c:axId val="22905392"/>
      </c:lineChart>
      <c:catAx>
        <c:axId val="3022435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22905392"/>
        <c:crosses val="autoZero"/>
        <c:auto val="1"/>
        <c:lblAlgn val="ctr"/>
        <c:lblOffset val="100"/>
        <c:noMultiLvlLbl val="0"/>
      </c:catAx>
      <c:valAx>
        <c:axId val="22905392"/>
        <c:scaling>
          <c:orientation val="minMax"/>
          <c:min val="9"/>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30224352"/>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2"/>
        <c:delete val="1"/>
      </c:legendEntry>
      <c:layout>
        <c:manualLayout>
          <c:xMode val="edge"/>
          <c:yMode val="edge"/>
          <c:x val="7.7099752634488025E-2"/>
          <c:y val="0.9653494857777527"/>
          <c:w val="0.91177659179253912"/>
          <c:h val="2.5561901681250193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'TCO-beregner'!$G$26</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'TCO-beregner'!$G$27:$G$28</c:f>
              <c:numCache>
                <c:formatCode>0.00</c:formatCode>
                <c:ptCount val="2"/>
                <c:pt idx="0">
                  <c:v>0</c:v>
                </c:pt>
                <c:pt idx="1">
                  <c:v>1.6528820545640963</c:v>
                </c:pt>
              </c:numCache>
            </c:numRef>
          </c:val>
          <c:extLst>
            <c:ext xmlns:c16="http://schemas.microsoft.com/office/drawing/2014/chart" uri="{C3380CC4-5D6E-409C-BE32-E72D297353CC}">
              <c16:uniqueId val="{00000000-E90A-4189-8636-9DF586EEBE3A}"/>
            </c:ext>
          </c:extLst>
        </c:ser>
        <c:ser>
          <c:idx val="1"/>
          <c:order val="1"/>
          <c:tx>
            <c:strRef>
              <c:f>'TCO-beregner'!$H$26</c:f>
              <c:strCache>
                <c:ptCount val="1"/>
                <c:pt idx="0">
                  <c:v>Ladeinfrastruktur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'TCO-beregner'!$H$27:$H$28</c:f>
              <c:numCache>
                <c:formatCode>0.00</c:formatCode>
                <c:ptCount val="2"/>
                <c:pt idx="0">
                  <c:v>0.34499999999999997</c:v>
                </c:pt>
                <c:pt idx="1">
                  <c:v>0</c:v>
                </c:pt>
              </c:numCache>
            </c:numRef>
          </c:val>
          <c:extLst>
            <c:ext xmlns:c16="http://schemas.microsoft.com/office/drawing/2014/chart" uri="{C3380CC4-5D6E-409C-BE32-E72D297353CC}">
              <c16:uniqueId val="{00000001-E90A-4189-8636-9DF586EEBE3A}"/>
            </c:ext>
          </c:extLst>
        </c:ser>
        <c:ser>
          <c:idx val="2"/>
          <c:order val="2"/>
          <c:tx>
            <c:strRef>
              <c:f>'TCO-beregner'!$I$26</c:f>
              <c:strCache>
                <c:ptCount val="1"/>
                <c:pt idx="0">
                  <c:v>Chaufførlønninger</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'TCO-beregner'!$I$27:$I$28</c:f>
              <c:numCache>
                <c:formatCode>General</c:formatCode>
                <c:ptCount val="2"/>
                <c:pt idx="0" formatCode="0.0">
                  <c:v>4</c:v>
                </c:pt>
                <c:pt idx="1">
                  <c:v>4</c:v>
                </c:pt>
              </c:numCache>
            </c:numRef>
          </c:val>
          <c:extLst>
            <c:ext xmlns:c16="http://schemas.microsoft.com/office/drawing/2014/chart" uri="{C3380CC4-5D6E-409C-BE32-E72D297353CC}">
              <c16:uniqueId val="{00000002-E90A-4189-8636-9DF586EEBE3A}"/>
            </c:ext>
          </c:extLst>
        </c:ser>
        <c:ser>
          <c:idx val="3"/>
          <c:order val="3"/>
          <c:tx>
            <c:strRef>
              <c:f>'TCO-beregner'!$E$30</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'TCO-beregner'!$E$31:$E$32</c:f>
              <c:numCache>
                <c:formatCode>0.00</c:formatCode>
                <c:ptCount val="2"/>
                <c:pt idx="0">
                  <c:v>0</c:v>
                </c:pt>
                <c:pt idx="1">
                  <c:v>0</c:v>
                </c:pt>
              </c:numCache>
            </c:numRef>
          </c:val>
          <c:extLst>
            <c:ext xmlns:c16="http://schemas.microsoft.com/office/drawing/2014/chart" uri="{C3380CC4-5D6E-409C-BE32-E72D297353CC}">
              <c16:uniqueId val="{00000003-E90A-4189-8636-9DF586EEBE3A}"/>
            </c:ext>
          </c:extLst>
        </c:ser>
        <c:ser>
          <c:idx val="4"/>
          <c:order val="4"/>
          <c:tx>
            <c:strRef>
              <c:f>'TCO-beregner'!$F$30</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'TCO-beregner'!$F$31:$F$32</c:f>
              <c:numCache>
                <c:formatCode>0.00</c:formatCode>
                <c:ptCount val="2"/>
                <c:pt idx="0">
                  <c:v>1.3414666666666666</c:v>
                </c:pt>
                <c:pt idx="1">
                  <c:v>0.88906666666666667</c:v>
                </c:pt>
              </c:numCache>
            </c:numRef>
          </c:val>
          <c:extLst>
            <c:ext xmlns:c16="http://schemas.microsoft.com/office/drawing/2014/chart" uri="{C3380CC4-5D6E-409C-BE32-E72D297353CC}">
              <c16:uniqueId val="{00000004-E90A-4189-8636-9DF586EEBE3A}"/>
            </c:ext>
          </c:extLst>
        </c:ser>
        <c:ser>
          <c:idx val="5"/>
          <c:order val="5"/>
          <c:tx>
            <c:strRef>
              <c:f>'TCO-beregner'!$G$30</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'TCO-beregner'!$G$31:$G$32</c:f>
              <c:numCache>
                <c:formatCode>0.00</c:formatCode>
                <c:ptCount val="2"/>
                <c:pt idx="0">
                  <c:v>0.33415119585716013</c:v>
                </c:pt>
                <c:pt idx="1">
                  <c:v>1.258706103173699</c:v>
                </c:pt>
              </c:numCache>
            </c:numRef>
          </c:val>
          <c:extLst>
            <c:ext xmlns:c16="http://schemas.microsoft.com/office/drawing/2014/chart" uri="{C3380CC4-5D6E-409C-BE32-E72D297353CC}">
              <c16:uniqueId val="{00000005-E90A-4189-8636-9DF586EEBE3A}"/>
            </c:ext>
          </c:extLst>
        </c:ser>
        <c:ser>
          <c:idx val="6"/>
          <c:order val="6"/>
          <c:tx>
            <c:strRef>
              <c:f>'TCO-beregner'!$H$30</c:f>
              <c:strCache>
                <c:ptCount val="1"/>
                <c:pt idx="0">
                  <c:v>I alt</c:v>
                </c:pt>
              </c:strCache>
            </c:strRef>
          </c:tx>
          <c:spPr>
            <a:solidFill>
              <a:schemeClr val="accent1">
                <a:lumMod val="60000"/>
              </a:schemeClr>
            </a:solidFill>
            <a:ln>
              <a:noFill/>
            </a:ln>
            <a:effectLst/>
          </c:spPr>
          <c:invertIfNegative val="0"/>
          <c:dLbls>
            <c:dLbl>
              <c:idx val="0"/>
              <c:tx>
                <c:rich>
                  <a:bodyPr/>
                  <a:lstStyle/>
                  <a:p>
                    <a:fld id="{703FD37B-DB0A-4AD1-9258-BB67FB40A7EC}"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90A-4189-8636-9DF586EEBE3A}"/>
                </c:ext>
              </c:extLst>
            </c:dLbl>
            <c:dLbl>
              <c:idx val="1"/>
              <c:tx>
                <c:rich>
                  <a:bodyPr/>
                  <a:lstStyle/>
                  <a:p>
                    <a:fld id="{9592F0DB-2547-4D08-8B87-7C09434B1E9D}"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90A-4189-8636-9DF586EEBE3A}"/>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dk1">
                        <a:lumMod val="75000"/>
                        <a:lumOff val="25000"/>
                      </a:schemeClr>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'TCO-beregner'!$F$27:$F$28</c:f>
              <c:strCache>
                <c:ptCount val="2"/>
                <c:pt idx="0">
                  <c:v>El</c:v>
                </c:pt>
                <c:pt idx="1">
                  <c:v>Diesel</c:v>
                </c:pt>
              </c:strCache>
            </c:strRef>
          </c:cat>
          <c:val>
            <c:numRef>
              <c:f>'TCO-beregner'!$H$31:$H$32</c:f>
              <c:numCache>
                <c:formatCode>General</c:formatCode>
                <c:ptCount val="2"/>
                <c:pt idx="0">
                  <c:v>1E-14</c:v>
                </c:pt>
                <c:pt idx="1">
                  <c:v>1E-14</c:v>
                </c:pt>
              </c:numCache>
            </c:numRef>
          </c:val>
          <c:extLst>
            <c:ext xmlns:c15="http://schemas.microsoft.com/office/drawing/2012/chart" uri="{02D57815-91ED-43cb-92C2-25804820EDAC}">
              <c15:datalabelsRange>
                <c15:f>'TCO-beregner'!$I$31:$I$32</c15:f>
                <c15:dlblRangeCache>
                  <c:ptCount val="2"/>
                  <c:pt idx="0">
                    <c:v>#REF!</c:v>
                  </c:pt>
                  <c:pt idx="1">
                    <c:v>#REF!</c:v>
                  </c:pt>
                </c15:dlblRangeCache>
              </c15:datalabelsRange>
            </c:ext>
            <c:ext xmlns:c16="http://schemas.microsoft.com/office/drawing/2014/chart" uri="{C3380CC4-5D6E-409C-BE32-E72D297353CC}">
              <c16:uniqueId val="{00000008-E90A-4189-8636-9DF586EEBE3A}"/>
            </c:ext>
          </c:extLst>
        </c:ser>
        <c:dLbls>
          <c:dLblPos val="ctr"/>
          <c:showLegendKey val="0"/>
          <c:showVal val="1"/>
          <c:showCatName val="0"/>
          <c:showSerName val="0"/>
          <c:showPercent val="0"/>
          <c:showBubbleSize val="0"/>
        </c:dLbls>
        <c:gapWidth val="150"/>
        <c:overlap val="100"/>
        <c:axId val="1310375840"/>
        <c:axId val="1329650064"/>
      </c:barChart>
      <c:catAx>
        <c:axId val="13103758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329650064"/>
        <c:crosses val="autoZero"/>
        <c:auto val="1"/>
        <c:lblAlgn val="ctr"/>
        <c:lblOffset val="100"/>
        <c:noMultiLvlLbl val="0"/>
      </c:catAx>
      <c:valAx>
        <c:axId val="132965006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310375840"/>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0.10094058376931071"/>
          <c:y val="0.93948381452318463"/>
          <c:w val="0.87686603604079683"/>
          <c:h val="4.46431696037995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'2024'!$H$40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'2024'!$H$41:$H$42</c:f>
              <c:numCache>
                <c:formatCode>0.00</c:formatCode>
                <c:ptCount val="2"/>
                <c:pt idx="0">
                  <c:v>4.3118662292976424</c:v>
                </c:pt>
                <c:pt idx="1">
                  <c:v>1.6528820545640963</c:v>
                </c:pt>
              </c:numCache>
            </c:numRef>
          </c:val>
          <c:extLst>
            <c:ext xmlns:c16="http://schemas.microsoft.com/office/drawing/2014/chart" uri="{C3380CC4-5D6E-409C-BE32-E72D297353CC}">
              <c16:uniqueId val="{00000000-79D8-4AA8-AF07-45B7E48EF5AC}"/>
            </c:ext>
          </c:extLst>
        </c:ser>
        <c:ser>
          <c:idx val="1"/>
          <c:order val="1"/>
          <c:tx>
            <c:strRef>
              <c:f>'2024'!$I$40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ADB-4B3D-AC89-8B8046F9B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'2024'!$I$41:$I$42</c:f>
              <c:numCache>
                <c:formatCode>0.00</c:formatCode>
                <c:ptCount val="2"/>
                <c:pt idx="0">
                  <c:v>0.34499999999999997</c:v>
                </c:pt>
                <c:pt idx="1">
                  <c:v>0</c:v>
                </c:pt>
              </c:numCache>
            </c:numRef>
          </c:val>
          <c:extLst>
            <c:ext xmlns:c16="http://schemas.microsoft.com/office/drawing/2014/chart" uri="{C3380CC4-5D6E-409C-BE32-E72D297353CC}">
              <c16:uniqueId val="{00000001-79D8-4AA8-AF07-45B7E48EF5AC}"/>
            </c:ext>
          </c:extLst>
        </c:ser>
        <c:ser>
          <c:idx val="2"/>
          <c:order val="2"/>
          <c:tx>
            <c:strRef>
              <c:f>'2024'!$J$40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'2024'!$J$41:$J$42</c:f>
              <c:numCache>
                <c:formatCode>General</c:formatCode>
                <c:ptCount val="2"/>
                <c:pt idx="0" formatCode="0.0">
                  <c:v>4</c:v>
                </c:pt>
                <c:pt idx="1">
                  <c:v>4</c:v>
                </c:pt>
              </c:numCache>
            </c:numRef>
          </c:val>
          <c:extLst>
            <c:ext xmlns:c16="http://schemas.microsoft.com/office/drawing/2014/chart" uri="{C3380CC4-5D6E-409C-BE32-E72D297353CC}">
              <c16:uniqueId val="{00000002-79D8-4AA8-AF07-45B7E48EF5AC}"/>
            </c:ext>
          </c:extLst>
        </c:ser>
        <c:ser>
          <c:idx val="3"/>
          <c:order val="3"/>
          <c:tx>
            <c:strRef>
              <c:f>'2024'!$F$44</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'2024'!$F$45:$F$46</c:f>
              <c:numCache>
                <c:formatCode>0.00</c:formatCode>
                <c:ptCount val="2"/>
                <c:pt idx="0">
                  <c:v>1.3952430555555555</c:v>
                </c:pt>
                <c:pt idx="1">
                  <c:v>3.3932000000000002</c:v>
                </c:pt>
              </c:numCache>
            </c:numRef>
          </c:val>
          <c:extLst>
            <c:ext xmlns:c16="http://schemas.microsoft.com/office/drawing/2014/chart" uri="{C3380CC4-5D6E-409C-BE32-E72D297353CC}">
              <c16:uniqueId val="{00000003-79D8-4AA8-AF07-45B7E48EF5AC}"/>
            </c:ext>
          </c:extLst>
        </c:ser>
        <c:ser>
          <c:idx val="4"/>
          <c:order val="4"/>
          <c:tx>
            <c:strRef>
              <c:f>'2024'!$G$44</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'2024'!$G$45:$G$46</c:f>
              <c:numCache>
                <c:formatCode>0.00</c:formatCode>
                <c:ptCount val="2"/>
                <c:pt idx="0">
                  <c:v>1.3414666666666666</c:v>
                </c:pt>
                <c:pt idx="1">
                  <c:v>0.88906666666666667</c:v>
                </c:pt>
              </c:numCache>
            </c:numRef>
          </c:val>
          <c:extLst>
            <c:ext xmlns:c16="http://schemas.microsoft.com/office/drawing/2014/chart" uri="{C3380CC4-5D6E-409C-BE32-E72D297353CC}">
              <c16:uniqueId val="{00000004-79D8-4AA8-AF07-45B7E48EF5AC}"/>
            </c:ext>
          </c:extLst>
        </c:ser>
        <c:ser>
          <c:idx val="5"/>
          <c:order val="5"/>
          <c:tx>
            <c:strRef>
              <c:f>'2024'!$H$44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'2024'!$H$45:$H$46</c:f>
              <c:numCache>
                <c:formatCode>0.00</c:formatCode>
                <c:ptCount val="2"/>
                <c:pt idx="0">
                  <c:v>0.17710363927279796</c:v>
                </c:pt>
                <c:pt idx="1">
                  <c:v>0.15522723081846143</c:v>
                </c:pt>
              </c:numCache>
            </c:numRef>
          </c:val>
          <c:extLst>
            <c:ext xmlns:c16="http://schemas.microsoft.com/office/drawing/2014/chart" uri="{C3380CC4-5D6E-409C-BE32-E72D297353CC}">
              <c16:uniqueId val="{00000005-79D8-4AA8-AF07-45B7E48EF5AC}"/>
            </c:ext>
          </c:extLst>
        </c:ser>
        <c:ser>
          <c:idx val="6"/>
          <c:order val="6"/>
          <c:tx>
            <c:strRef>
              <c:f>'2024'!$I$44</c:f>
              <c:strCache>
                <c:ptCount val="1"/>
                <c:pt idx="0">
                  <c:v>I alt</c:v>
                </c:pt>
              </c:strCache>
            </c:strRef>
          </c:tx>
          <c:spPr>
            <a:solidFill>
              <a:schemeClr val="accent1">
                <a:lumMod val="60000"/>
              </a:schemeClr>
            </a:solidFill>
            <a:ln>
              <a:noFill/>
            </a:ln>
            <a:effectLst/>
          </c:spPr>
          <c:invertIfNegative val="0"/>
          <c:dLbls>
            <c:dLbl>
              <c:idx val="0"/>
              <c:tx>
                <c:rich>
                  <a:bodyPr/>
                  <a:lstStyle/>
                  <a:p>
                    <a:fld id="{703FD37B-DB0A-4AD1-9258-BB67FB40A7EC}"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9D8-4AA8-AF07-45B7E48EF5AC}"/>
                </c:ext>
              </c:extLst>
            </c:dLbl>
            <c:dLbl>
              <c:idx val="1"/>
              <c:tx>
                <c:rich>
                  <a:bodyPr/>
                  <a:lstStyle/>
                  <a:p>
                    <a:fld id="{9592F0DB-2547-4D08-8B87-7C09434B1E9D}"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9D8-4AA8-AF07-45B7E48EF5AC}"/>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dk1">
                        <a:lumMod val="75000"/>
                        <a:lumOff val="25000"/>
                      </a:schemeClr>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'2024'!$G$41:$G$42</c:f>
              <c:strCache>
                <c:ptCount val="2"/>
                <c:pt idx="0">
                  <c:v>El</c:v>
                </c:pt>
                <c:pt idx="1">
                  <c:v>Diesel</c:v>
                </c:pt>
              </c:strCache>
            </c:strRef>
          </c:cat>
          <c:val>
            <c:numRef>
              <c:f>'2024'!$I$45:$I$46</c:f>
              <c:numCache>
                <c:formatCode>General</c:formatCode>
                <c:ptCount val="2"/>
                <c:pt idx="0">
                  <c:v>1E-14</c:v>
                </c:pt>
                <c:pt idx="1">
                  <c:v>1E-14</c:v>
                </c:pt>
              </c:numCache>
            </c:numRef>
          </c:val>
          <c:extLst>
            <c:ext xmlns:c15="http://schemas.microsoft.com/office/drawing/2012/chart" uri="{02D57815-91ED-43cb-92C2-25804820EDAC}">
              <c15:datalabelsRange>
                <c15:f>'2024'!$J$45:$J$46</c15:f>
                <c15:dlblRangeCache>
                  <c:ptCount val="2"/>
                  <c:pt idx="0">
                    <c:v>Total 11,57</c:v>
                  </c:pt>
                  <c:pt idx="1">
                    <c:v>Total 10,09</c:v>
                  </c:pt>
                </c15:dlblRangeCache>
              </c15:datalabelsRange>
            </c:ext>
            <c:ext xmlns:c16="http://schemas.microsoft.com/office/drawing/2014/chart" uri="{C3380CC4-5D6E-409C-BE32-E72D297353CC}">
              <c16:uniqueId val="{00000006-79D8-4AA8-AF07-45B7E48EF5AC}"/>
            </c:ext>
          </c:extLst>
        </c:ser>
        <c:dLbls>
          <c:dLblPos val="ctr"/>
          <c:showLegendKey val="0"/>
          <c:showVal val="1"/>
          <c:showCatName val="0"/>
          <c:showSerName val="0"/>
          <c:showPercent val="0"/>
          <c:showBubbleSize val="0"/>
        </c:dLbls>
        <c:gapWidth val="150"/>
        <c:overlap val="100"/>
        <c:axId val="1310375840"/>
        <c:axId val="1329650064"/>
      </c:barChart>
      <c:catAx>
        <c:axId val="13103758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329650064"/>
        <c:crosses val="autoZero"/>
        <c:auto val="1"/>
        <c:lblAlgn val="ctr"/>
        <c:lblOffset val="100"/>
        <c:noMultiLvlLbl val="0"/>
      </c:catAx>
      <c:valAx>
        <c:axId val="132965006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310375840"/>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9.9197223777990076E-2"/>
          <c:y val="0.94900372765521834"/>
          <c:w val="0.87686603604079683"/>
          <c:h val="4.46431696037995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'2025'!$H$40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'2025'!$H$41:$H$42</c:f>
              <c:numCache>
                <c:formatCode>0.00</c:formatCode>
                <c:ptCount val="2"/>
                <c:pt idx="0">
                  <c:v>4.3118662292976424</c:v>
                </c:pt>
                <c:pt idx="1">
                  <c:v>1.6528820545640963</c:v>
                </c:pt>
              </c:numCache>
            </c:numRef>
          </c:val>
          <c:extLst>
            <c:ext xmlns:c16="http://schemas.microsoft.com/office/drawing/2014/chart" uri="{C3380CC4-5D6E-409C-BE32-E72D297353CC}">
              <c16:uniqueId val="{00000000-0A7D-49AA-9BD4-56CF90592882}"/>
            </c:ext>
          </c:extLst>
        </c:ser>
        <c:ser>
          <c:idx val="1"/>
          <c:order val="1"/>
          <c:tx>
            <c:strRef>
              <c:f>'2025'!$I$40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0FFA-45FD-8B21-D435EC4975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'2025'!$I$41:$I$42</c:f>
              <c:numCache>
                <c:formatCode>0.00</c:formatCode>
                <c:ptCount val="2"/>
                <c:pt idx="0">
                  <c:v>0.34499999999999997</c:v>
                </c:pt>
                <c:pt idx="1">
                  <c:v>0</c:v>
                </c:pt>
              </c:numCache>
            </c:numRef>
          </c:val>
          <c:extLst>
            <c:ext xmlns:c16="http://schemas.microsoft.com/office/drawing/2014/chart" uri="{C3380CC4-5D6E-409C-BE32-E72D297353CC}">
              <c16:uniqueId val="{00000001-0A7D-49AA-9BD4-56CF90592882}"/>
            </c:ext>
          </c:extLst>
        </c:ser>
        <c:ser>
          <c:idx val="2"/>
          <c:order val="2"/>
          <c:tx>
            <c:strRef>
              <c:f>'2025'!$J$40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'2025'!$J$41:$J$42</c:f>
              <c:numCache>
                <c:formatCode>General</c:formatCode>
                <c:ptCount val="2"/>
                <c:pt idx="0" formatCode="0.00">
                  <c:v>4</c:v>
                </c:pt>
                <c:pt idx="1">
                  <c:v>4</c:v>
                </c:pt>
              </c:numCache>
            </c:numRef>
          </c:val>
          <c:extLst>
            <c:ext xmlns:c16="http://schemas.microsoft.com/office/drawing/2014/chart" uri="{C3380CC4-5D6E-409C-BE32-E72D297353CC}">
              <c16:uniqueId val="{00000002-0A7D-49AA-9BD4-56CF90592882}"/>
            </c:ext>
          </c:extLst>
        </c:ser>
        <c:ser>
          <c:idx val="3"/>
          <c:order val="3"/>
          <c:tx>
            <c:strRef>
              <c:f>'2025'!$F$44</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'2025'!$F$45:$F$46</c:f>
              <c:numCache>
                <c:formatCode>0.00</c:formatCode>
                <c:ptCount val="2"/>
                <c:pt idx="0">
                  <c:v>1.3952430555555555</c:v>
                </c:pt>
                <c:pt idx="1">
                  <c:v>3.3932000000000002</c:v>
                </c:pt>
              </c:numCache>
            </c:numRef>
          </c:val>
          <c:extLst>
            <c:ext xmlns:c16="http://schemas.microsoft.com/office/drawing/2014/chart" uri="{C3380CC4-5D6E-409C-BE32-E72D297353CC}">
              <c16:uniqueId val="{00000003-0A7D-49AA-9BD4-56CF90592882}"/>
            </c:ext>
          </c:extLst>
        </c:ser>
        <c:ser>
          <c:idx val="4"/>
          <c:order val="4"/>
          <c:tx>
            <c:strRef>
              <c:f>'2025'!$G$44</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'2025'!$G$45:$G$46</c:f>
              <c:numCache>
                <c:formatCode>0.00</c:formatCode>
                <c:ptCount val="2"/>
                <c:pt idx="0">
                  <c:v>1.3414666666666666</c:v>
                </c:pt>
                <c:pt idx="1">
                  <c:v>0.88906666666666667</c:v>
                </c:pt>
              </c:numCache>
            </c:numRef>
          </c:val>
          <c:extLst>
            <c:ext xmlns:c16="http://schemas.microsoft.com/office/drawing/2014/chart" uri="{C3380CC4-5D6E-409C-BE32-E72D297353CC}">
              <c16:uniqueId val="{00000004-0A7D-49AA-9BD4-56CF90592882}"/>
            </c:ext>
          </c:extLst>
        </c:ser>
        <c:ser>
          <c:idx val="5"/>
          <c:order val="5"/>
          <c:tx>
            <c:strRef>
              <c:f>'2025'!$H$44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'2025'!$H$45:$H$46</c:f>
              <c:numCache>
                <c:formatCode>0.00</c:formatCode>
                <c:ptCount val="2"/>
                <c:pt idx="0">
                  <c:v>0.27557030593946463</c:v>
                </c:pt>
                <c:pt idx="1">
                  <c:v>1.0053938974851282</c:v>
                </c:pt>
              </c:numCache>
            </c:numRef>
          </c:val>
          <c:extLst>
            <c:ext xmlns:c16="http://schemas.microsoft.com/office/drawing/2014/chart" uri="{C3380CC4-5D6E-409C-BE32-E72D297353CC}">
              <c16:uniqueId val="{00000005-0A7D-49AA-9BD4-56CF90592882}"/>
            </c:ext>
          </c:extLst>
        </c:ser>
        <c:ser>
          <c:idx val="6"/>
          <c:order val="6"/>
          <c:tx>
            <c:strRef>
              <c:f>'2025'!$I$44</c:f>
              <c:strCache>
                <c:ptCount val="1"/>
                <c:pt idx="0">
                  <c:v>I alt</c:v>
                </c:pt>
              </c:strCache>
            </c:strRef>
          </c:tx>
          <c:spPr>
            <a:solidFill>
              <a:schemeClr val="accent1">
                <a:lumMod val="60000"/>
              </a:schemeClr>
            </a:solidFill>
            <a:ln>
              <a:noFill/>
            </a:ln>
            <a:effectLst/>
          </c:spPr>
          <c:invertIfNegative val="0"/>
          <c:dLbls>
            <c:dLbl>
              <c:idx val="0"/>
              <c:tx>
                <c:rich>
                  <a:bodyPr/>
                  <a:lstStyle/>
                  <a:p>
                    <a:fld id="{703FD37B-DB0A-4AD1-9258-BB67FB40A7EC}"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0A7D-49AA-9BD4-56CF90592882}"/>
                </c:ext>
              </c:extLst>
            </c:dLbl>
            <c:dLbl>
              <c:idx val="1"/>
              <c:tx>
                <c:rich>
                  <a:bodyPr/>
                  <a:lstStyle/>
                  <a:p>
                    <a:fld id="{9592F0DB-2547-4D08-8B87-7C09434B1E9D}"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A7D-49AA-9BD4-56CF90592882}"/>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dk1">
                        <a:lumMod val="75000"/>
                        <a:lumOff val="25000"/>
                      </a:schemeClr>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'2025'!$G$41:$G$42</c:f>
              <c:strCache>
                <c:ptCount val="2"/>
                <c:pt idx="0">
                  <c:v>El</c:v>
                </c:pt>
                <c:pt idx="1">
                  <c:v>Diesel</c:v>
                </c:pt>
              </c:strCache>
            </c:strRef>
          </c:cat>
          <c:val>
            <c:numRef>
              <c:f>'2025'!$I$45:$I$46</c:f>
              <c:numCache>
                <c:formatCode>General</c:formatCode>
                <c:ptCount val="2"/>
                <c:pt idx="0">
                  <c:v>1E-14</c:v>
                </c:pt>
                <c:pt idx="1">
                  <c:v>1E-14</c:v>
                </c:pt>
              </c:numCache>
            </c:numRef>
          </c:val>
          <c:extLst>
            <c:ext xmlns:c15="http://schemas.microsoft.com/office/drawing/2012/chart" uri="{02D57815-91ED-43cb-92C2-25804820EDAC}">
              <c15:datalabelsRange>
                <c15:f>'2025'!$J$45:$J$46</c15:f>
                <c15:dlblRangeCache>
                  <c:ptCount val="2"/>
                  <c:pt idx="0">
                    <c:v>Total 11,67</c:v>
                  </c:pt>
                  <c:pt idx="1">
                    <c:v>Total 10,94</c:v>
                  </c:pt>
                </c15:dlblRangeCache>
              </c15:datalabelsRange>
            </c:ext>
            <c:ext xmlns:c16="http://schemas.microsoft.com/office/drawing/2014/chart" uri="{C3380CC4-5D6E-409C-BE32-E72D297353CC}">
              <c16:uniqueId val="{00000008-0A7D-49AA-9BD4-56CF90592882}"/>
            </c:ext>
          </c:extLst>
        </c:ser>
        <c:dLbls>
          <c:dLblPos val="ctr"/>
          <c:showLegendKey val="0"/>
          <c:showVal val="1"/>
          <c:showCatName val="0"/>
          <c:showSerName val="0"/>
          <c:showPercent val="0"/>
          <c:showBubbleSize val="0"/>
        </c:dLbls>
        <c:gapWidth val="150"/>
        <c:overlap val="100"/>
        <c:axId val="1310375840"/>
        <c:axId val="1329650064"/>
      </c:barChart>
      <c:catAx>
        <c:axId val="13103758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329650064"/>
        <c:crosses val="autoZero"/>
        <c:auto val="1"/>
        <c:lblAlgn val="ctr"/>
        <c:lblOffset val="100"/>
        <c:noMultiLvlLbl val="0"/>
      </c:catAx>
      <c:valAx>
        <c:axId val="132965006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310375840"/>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0.10094058376931071"/>
          <c:y val="0.93948381452318463"/>
          <c:w val="0.87686603604079683"/>
          <c:h val="4.46431696037995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'2026'!$H$40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'2026'!$H$41:$H$42</c:f>
              <c:numCache>
                <c:formatCode>0.00</c:formatCode>
                <c:ptCount val="2"/>
                <c:pt idx="0">
                  <c:v>4.3118662292976424</c:v>
                </c:pt>
                <c:pt idx="1">
                  <c:v>1.6528820545640963</c:v>
                </c:pt>
              </c:numCache>
            </c:numRef>
          </c:val>
          <c:extLst>
            <c:ext xmlns:c16="http://schemas.microsoft.com/office/drawing/2014/chart" uri="{C3380CC4-5D6E-409C-BE32-E72D297353CC}">
              <c16:uniqueId val="{00000000-FD1D-4E17-A67E-4BAF2BACBB2C}"/>
            </c:ext>
          </c:extLst>
        </c:ser>
        <c:ser>
          <c:idx val="1"/>
          <c:order val="1"/>
          <c:tx>
            <c:strRef>
              <c:f>'2026'!$I$40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502-4384-9908-3CB89122DC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'2026'!$I$41:$I$42</c:f>
              <c:numCache>
                <c:formatCode>0.00</c:formatCode>
                <c:ptCount val="2"/>
                <c:pt idx="0">
                  <c:v>0.34499999999999997</c:v>
                </c:pt>
                <c:pt idx="1">
                  <c:v>0</c:v>
                </c:pt>
              </c:numCache>
            </c:numRef>
          </c:val>
          <c:extLst>
            <c:ext xmlns:c16="http://schemas.microsoft.com/office/drawing/2014/chart" uri="{C3380CC4-5D6E-409C-BE32-E72D297353CC}">
              <c16:uniqueId val="{00000001-FD1D-4E17-A67E-4BAF2BACBB2C}"/>
            </c:ext>
          </c:extLst>
        </c:ser>
        <c:ser>
          <c:idx val="2"/>
          <c:order val="2"/>
          <c:tx>
            <c:strRef>
              <c:f>'2026'!$J$40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'2026'!$J$41:$J$42</c:f>
              <c:numCache>
                <c:formatCode>General</c:formatCode>
                <c:ptCount val="2"/>
                <c:pt idx="0" formatCode="0.00">
                  <c:v>4</c:v>
                </c:pt>
                <c:pt idx="1">
                  <c:v>4</c:v>
                </c:pt>
              </c:numCache>
            </c:numRef>
          </c:val>
          <c:extLst>
            <c:ext xmlns:c16="http://schemas.microsoft.com/office/drawing/2014/chart" uri="{C3380CC4-5D6E-409C-BE32-E72D297353CC}">
              <c16:uniqueId val="{00000002-FD1D-4E17-A67E-4BAF2BACBB2C}"/>
            </c:ext>
          </c:extLst>
        </c:ser>
        <c:ser>
          <c:idx val="3"/>
          <c:order val="3"/>
          <c:tx>
            <c:strRef>
              <c:f>'2026'!$F$44</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'2026'!$F$45:$F$46</c:f>
              <c:numCache>
                <c:formatCode>0.00</c:formatCode>
                <c:ptCount val="2"/>
                <c:pt idx="0">
                  <c:v>1.3952430555555555</c:v>
                </c:pt>
                <c:pt idx="1">
                  <c:v>3.3932000000000002</c:v>
                </c:pt>
              </c:numCache>
            </c:numRef>
          </c:val>
          <c:extLst>
            <c:ext xmlns:c16="http://schemas.microsoft.com/office/drawing/2014/chart" uri="{C3380CC4-5D6E-409C-BE32-E72D297353CC}">
              <c16:uniqueId val="{00000003-FD1D-4E17-A67E-4BAF2BACBB2C}"/>
            </c:ext>
          </c:extLst>
        </c:ser>
        <c:ser>
          <c:idx val="4"/>
          <c:order val="4"/>
          <c:tx>
            <c:strRef>
              <c:f>'2026'!$G$44</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'2026'!$G$45:$G$46</c:f>
              <c:numCache>
                <c:formatCode>0.00</c:formatCode>
                <c:ptCount val="2"/>
                <c:pt idx="0">
                  <c:v>1.3414666666666666</c:v>
                </c:pt>
                <c:pt idx="1">
                  <c:v>0.88906666666666667</c:v>
                </c:pt>
              </c:numCache>
            </c:numRef>
          </c:val>
          <c:extLst>
            <c:ext xmlns:c16="http://schemas.microsoft.com/office/drawing/2014/chart" uri="{C3380CC4-5D6E-409C-BE32-E72D297353CC}">
              <c16:uniqueId val="{00000004-FD1D-4E17-A67E-4BAF2BACBB2C}"/>
            </c:ext>
          </c:extLst>
        </c:ser>
        <c:ser>
          <c:idx val="5"/>
          <c:order val="5"/>
          <c:tx>
            <c:strRef>
              <c:f>'2026'!$H$44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'2026'!$H$45:$H$46</c:f>
              <c:numCache>
                <c:formatCode>0.00</c:formatCode>
                <c:ptCount val="2"/>
                <c:pt idx="0">
                  <c:v>0.27557030593946463</c:v>
                </c:pt>
                <c:pt idx="1">
                  <c:v>1.0053938974851282</c:v>
                </c:pt>
              </c:numCache>
            </c:numRef>
          </c:val>
          <c:extLst>
            <c:ext xmlns:c16="http://schemas.microsoft.com/office/drawing/2014/chart" uri="{C3380CC4-5D6E-409C-BE32-E72D297353CC}">
              <c16:uniqueId val="{00000005-FD1D-4E17-A67E-4BAF2BACBB2C}"/>
            </c:ext>
          </c:extLst>
        </c:ser>
        <c:ser>
          <c:idx val="6"/>
          <c:order val="6"/>
          <c:tx>
            <c:strRef>
              <c:f>'2026'!$I$44</c:f>
              <c:strCache>
                <c:ptCount val="1"/>
                <c:pt idx="0">
                  <c:v>I alt</c:v>
                </c:pt>
              </c:strCache>
            </c:strRef>
          </c:tx>
          <c:spPr>
            <a:solidFill>
              <a:schemeClr val="accent1">
                <a:lumMod val="60000"/>
              </a:schemeClr>
            </a:solidFill>
            <a:ln>
              <a:noFill/>
            </a:ln>
            <a:effectLst/>
          </c:spPr>
          <c:invertIfNegative val="0"/>
          <c:dLbls>
            <c:dLbl>
              <c:idx val="0"/>
              <c:tx>
                <c:rich>
                  <a:bodyPr/>
                  <a:lstStyle/>
                  <a:p>
                    <a:fld id="{703FD37B-DB0A-4AD1-9258-BB67FB40A7EC}"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D1D-4E17-A67E-4BAF2BACBB2C}"/>
                </c:ext>
              </c:extLst>
            </c:dLbl>
            <c:dLbl>
              <c:idx val="1"/>
              <c:tx>
                <c:rich>
                  <a:bodyPr/>
                  <a:lstStyle/>
                  <a:p>
                    <a:fld id="{9592F0DB-2547-4D08-8B87-7C09434B1E9D}"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D1D-4E17-A67E-4BAF2BACBB2C}"/>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dk1">
                        <a:lumMod val="75000"/>
                        <a:lumOff val="25000"/>
                      </a:schemeClr>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'2026'!$G$41:$G$42</c:f>
              <c:strCache>
                <c:ptCount val="2"/>
                <c:pt idx="0">
                  <c:v>El</c:v>
                </c:pt>
                <c:pt idx="1">
                  <c:v>Diesel</c:v>
                </c:pt>
              </c:strCache>
            </c:strRef>
          </c:cat>
          <c:val>
            <c:numRef>
              <c:f>'2026'!$I$45:$I$46</c:f>
              <c:numCache>
                <c:formatCode>General</c:formatCode>
                <c:ptCount val="2"/>
                <c:pt idx="0">
                  <c:v>1E-14</c:v>
                </c:pt>
                <c:pt idx="1">
                  <c:v>1E-14</c:v>
                </c:pt>
              </c:numCache>
            </c:numRef>
          </c:val>
          <c:extLst>
            <c:ext xmlns:c15="http://schemas.microsoft.com/office/drawing/2012/chart" uri="{02D57815-91ED-43cb-92C2-25804820EDAC}">
              <c15:datalabelsRange>
                <c15:f>'2026'!$J$45:$J$46</c15:f>
                <c15:dlblRangeCache>
                  <c:ptCount val="2"/>
                  <c:pt idx="0">
                    <c:v>Total 11,67</c:v>
                  </c:pt>
                  <c:pt idx="1">
                    <c:v>Total 10,94</c:v>
                  </c:pt>
                </c15:dlblRangeCache>
              </c15:datalabelsRange>
            </c:ext>
            <c:ext xmlns:c16="http://schemas.microsoft.com/office/drawing/2014/chart" uri="{C3380CC4-5D6E-409C-BE32-E72D297353CC}">
              <c16:uniqueId val="{00000008-FD1D-4E17-A67E-4BAF2BACBB2C}"/>
            </c:ext>
          </c:extLst>
        </c:ser>
        <c:dLbls>
          <c:dLblPos val="ctr"/>
          <c:showLegendKey val="0"/>
          <c:showVal val="1"/>
          <c:showCatName val="0"/>
          <c:showSerName val="0"/>
          <c:showPercent val="0"/>
          <c:showBubbleSize val="0"/>
        </c:dLbls>
        <c:gapWidth val="150"/>
        <c:overlap val="100"/>
        <c:axId val="1310375840"/>
        <c:axId val="1329650064"/>
      </c:barChart>
      <c:catAx>
        <c:axId val="13103758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329650064"/>
        <c:crosses val="autoZero"/>
        <c:auto val="1"/>
        <c:lblAlgn val="ctr"/>
        <c:lblOffset val="100"/>
        <c:noMultiLvlLbl val="0"/>
      </c:catAx>
      <c:valAx>
        <c:axId val="132965006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310375840"/>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0.10094058376931071"/>
          <c:y val="0.93948381452318463"/>
          <c:w val="0.87686603604079683"/>
          <c:h val="4.46431696037995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'2027'!$H$40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'2027'!$H$41:$H$42</c:f>
              <c:numCache>
                <c:formatCode>0.00</c:formatCode>
                <c:ptCount val="2"/>
                <c:pt idx="0">
                  <c:v>4.3118662292976424</c:v>
                </c:pt>
                <c:pt idx="1">
                  <c:v>1.6528820545640963</c:v>
                </c:pt>
              </c:numCache>
            </c:numRef>
          </c:val>
          <c:extLst>
            <c:ext xmlns:c16="http://schemas.microsoft.com/office/drawing/2014/chart" uri="{C3380CC4-5D6E-409C-BE32-E72D297353CC}">
              <c16:uniqueId val="{00000000-1136-4F2C-9DF0-A4BB50791E8C}"/>
            </c:ext>
          </c:extLst>
        </c:ser>
        <c:ser>
          <c:idx val="1"/>
          <c:order val="1"/>
          <c:tx>
            <c:strRef>
              <c:f>'2027'!$I$40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CD8-4C51-86FE-22E3F7C2AC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'2027'!$I$41:$I$42</c:f>
              <c:numCache>
                <c:formatCode>0.00</c:formatCode>
                <c:ptCount val="2"/>
                <c:pt idx="0">
                  <c:v>0.34499999999999997</c:v>
                </c:pt>
                <c:pt idx="1">
                  <c:v>0</c:v>
                </c:pt>
              </c:numCache>
            </c:numRef>
          </c:val>
          <c:extLst>
            <c:ext xmlns:c16="http://schemas.microsoft.com/office/drawing/2014/chart" uri="{C3380CC4-5D6E-409C-BE32-E72D297353CC}">
              <c16:uniqueId val="{00000001-1136-4F2C-9DF0-A4BB50791E8C}"/>
            </c:ext>
          </c:extLst>
        </c:ser>
        <c:ser>
          <c:idx val="2"/>
          <c:order val="2"/>
          <c:tx>
            <c:strRef>
              <c:f>'2027'!$J$40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'2027'!$J$41:$J$42</c:f>
              <c:numCache>
                <c:formatCode>General</c:formatCode>
                <c:ptCount val="2"/>
                <c:pt idx="0" formatCode="0.00">
                  <c:v>4</c:v>
                </c:pt>
                <c:pt idx="1">
                  <c:v>4</c:v>
                </c:pt>
              </c:numCache>
            </c:numRef>
          </c:val>
          <c:extLst>
            <c:ext xmlns:c16="http://schemas.microsoft.com/office/drawing/2014/chart" uri="{C3380CC4-5D6E-409C-BE32-E72D297353CC}">
              <c16:uniqueId val="{00000002-1136-4F2C-9DF0-A4BB50791E8C}"/>
            </c:ext>
          </c:extLst>
        </c:ser>
        <c:ser>
          <c:idx val="3"/>
          <c:order val="3"/>
          <c:tx>
            <c:strRef>
              <c:f>'2027'!$F$44</c:f>
              <c:strCache>
                <c:ptCount val="1"/>
                <c:pt idx="0">
                  <c:v>Drivmiddel</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'2027'!$F$45:$F$46</c:f>
              <c:numCache>
                <c:formatCode>0.00</c:formatCode>
                <c:ptCount val="2"/>
                <c:pt idx="0">
                  <c:v>1.3952430555555555</c:v>
                </c:pt>
                <c:pt idx="1">
                  <c:v>3.3932000000000002</c:v>
                </c:pt>
              </c:numCache>
            </c:numRef>
          </c:val>
          <c:extLst>
            <c:ext xmlns:c16="http://schemas.microsoft.com/office/drawing/2014/chart" uri="{C3380CC4-5D6E-409C-BE32-E72D297353CC}">
              <c16:uniqueId val="{00000003-1136-4F2C-9DF0-A4BB50791E8C}"/>
            </c:ext>
          </c:extLst>
        </c:ser>
        <c:ser>
          <c:idx val="4"/>
          <c:order val="4"/>
          <c:tx>
            <c:strRef>
              <c:f>'2027'!$G$44</c:f>
              <c:strCache>
                <c:ptCount val="1"/>
                <c:pt idx="0">
                  <c:v>Service og forsikring</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'2027'!$G$45:$G$46</c:f>
              <c:numCache>
                <c:formatCode>0.00</c:formatCode>
                <c:ptCount val="2"/>
                <c:pt idx="0">
                  <c:v>1.3414666666666666</c:v>
                </c:pt>
                <c:pt idx="1">
                  <c:v>0.88906666666666667</c:v>
                </c:pt>
              </c:numCache>
            </c:numRef>
          </c:val>
          <c:extLst>
            <c:ext xmlns:c16="http://schemas.microsoft.com/office/drawing/2014/chart" uri="{C3380CC4-5D6E-409C-BE32-E72D297353CC}">
              <c16:uniqueId val="{00000004-1136-4F2C-9DF0-A4BB50791E8C}"/>
            </c:ext>
          </c:extLst>
        </c:ser>
        <c:ser>
          <c:idx val="5"/>
          <c:order val="5"/>
          <c:tx>
            <c:strRef>
              <c:f>'2027'!$H$44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'2027'!$H$45:$H$46</c:f>
              <c:numCache>
                <c:formatCode>0.00</c:formatCode>
                <c:ptCount val="2"/>
                <c:pt idx="0">
                  <c:v>0.27557030593946463</c:v>
                </c:pt>
                <c:pt idx="1">
                  <c:v>1.0053938974851282</c:v>
                </c:pt>
              </c:numCache>
            </c:numRef>
          </c:val>
          <c:extLst>
            <c:ext xmlns:c16="http://schemas.microsoft.com/office/drawing/2014/chart" uri="{C3380CC4-5D6E-409C-BE32-E72D297353CC}">
              <c16:uniqueId val="{00000005-1136-4F2C-9DF0-A4BB50791E8C}"/>
            </c:ext>
          </c:extLst>
        </c:ser>
        <c:ser>
          <c:idx val="6"/>
          <c:order val="6"/>
          <c:tx>
            <c:strRef>
              <c:f>'2027'!$I$44</c:f>
              <c:strCache>
                <c:ptCount val="1"/>
                <c:pt idx="0">
                  <c:v>I alt</c:v>
                </c:pt>
              </c:strCache>
            </c:strRef>
          </c:tx>
          <c:spPr>
            <a:solidFill>
              <a:schemeClr val="accent1">
                <a:lumMod val="60000"/>
              </a:schemeClr>
            </a:solidFill>
            <a:ln>
              <a:noFill/>
            </a:ln>
            <a:effectLst/>
          </c:spPr>
          <c:invertIfNegative val="0"/>
          <c:dLbls>
            <c:dLbl>
              <c:idx val="0"/>
              <c:tx>
                <c:rich>
                  <a:bodyPr/>
                  <a:lstStyle/>
                  <a:p>
                    <a:fld id="{0448B3EF-FF64-4501-8696-564ECEE29479}"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136-4F2C-9DF0-A4BB50791E8C}"/>
                </c:ext>
              </c:extLst>
            </c:dLbl>
            <c:dLbl>
              <c:idx val="1"/>
              <c:tx>
                <c:rich>
                  <a:bodyPr/>
                  <a:lstStyle/>
                  <a:p>
                    <a:fld id="{28FB09FF-C963-4A03-8BD5-F9F867767CC3}"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136-4F2C-9DF0-A4BB50791E8C}"/>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tx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'2027'!$G$41:$G$42</c:f>
              <c:strCache>
                <c:ptCount val="2"/>
                <c:pt idx="0">
                  <c:v>El</c:v>
                </c:pt>
                <c:pt idx="1">
                  <c:v>Diesel</c:v>
                </c:pt>
              </c:strCache>
            </c:strRef>
          </c:cat>
          <c:val>
            <c:numRef>
              <c:f>'2027'!$I$45:$I$46</c:f>
              <c:numCache>
                <c:formatCode>General</c:formatCode>
                <c:ptCount val="2"/>
                <c:pt idx="0">
                  <c:v>1E-14</c:v>
                </c:pt>
                <c:pt idx="1">
                  <c:v>1E-14</c:v>
                </c:pt>
              </c:numCache>
            </c:numRef>
          </c:val>
          <c:extLst>
            <c:ext xmlns:c15="http://schemas.microsoft.com/office/drawing/2012/chart" uri="{02D57815-91ED-43cb-92C2-25804820EDAC}">
              <c15:datalabelsRange>
                <c15:f>'2027'!$J$45:$J$46</c15:f>
                <c15:dlblRangeCache>
                  <c:ptCount val="2"/>
                  <c:pt idx="0">
                    <c:v>Total 11,67</c:v>
                  </c:pt>
                  <c:pt idx="1">
                    <c:v>Total 10,94</c:v>
                  </c:pt>
                </c15:dlblRangeCache>
              </c15:datalabelsRange>
            </c:ext>
            <c:ext xmlns:c16="http://schemas.microsoft.com/office/drawing/2014/chart" uri="{C3380CC4-5D6E-409C-BE32-E72D297353CC}">
              <c16:uniqueId val="{00000008-1136-4F2C-9DF0-A4BB50791E8C}"/>
            </c:ext>
          </c:extLst>
        </c:ser>
        <c:ser>
          <c:idx val="7"/>
          <c:order val="7"/>
          <c:tx>
            <c:strRef>
              <c:f>'2027'!$J$44</c:f>
              <c:strCache>
                <c:ptCount val="1"/>
              </c:strCache>
            </c:strRef>
          </c:tx>
          <c:spPr>
            <a:solidFill>
              <a:schemeClr val="accent2">
                <a:lumMod val="60000"/>
              </a:schemeClr>
            </a:solidFill>
            <a:ln>
              <a:noFill/>
            </a:ln>
            <a:effectLst/>
          </c:spPr>
          <c:invertIfNegative val="0"/>
          <c:dLbls>
            <c:delete val="1"/>
          </c:dLbls>
          <c:cat>
            <c:strRef>
              <c:f>'2027'!$G$41:$G$42</c:f>
              <c:strCache>
                <c:ptCount val="2"/>
                <c:pt idx="0">
                  <c:v>El</c:v>
                </c:pt>
                <c:pt idx="1">
                  <c:v>Diesel</c:v>
                </c:pt>
              </c:strCache>
            </c:strRef>
          </c:cat>
          <c:val>
            <c:numRef>
              <c:f>'2027'!$J$45:$J$46</c:f>
              <c:numCache>
                <c:formatCode>0.0000</c:formatCode>
                <c:ptCount val="2"/>
                <c:pt idx="0">
                  <c:v>0</c:v>
                </c:pt>
                <c:pt idx="1">
                  <c:v>0</c:v>
                </c:pt>
              </c:numCache>
            </c:numRef>
          </c:val>
          <c:extLst>
            <c:ext xmlns:c16="http://schemas.microsoft.com/office/drawing/2014/chart" uri="{C3380CC4-5D6E-409C-BE32-E72D297353CC}">
              <c16:uniqueId val="{00000009-1136-4F2C-9DF0-A4BB50791E8C}"/>
            </c:ext>
          </c:extLst>
        </c:ser>
        <c:dLbls>
          <c:dLblPos val="ctr"/>
          <c:showLegendKey val="0"/>
          <c:showVal val="1"/>
          <c:showCatName val="0"/>
          <c:showSerName val="0"/>
          <c:showPercent val="0"/>
          <c:showBubbleSize val="0"/>
        </c:dLbls>
        <c:gapWidth val="150"/>
        <c:overlap val="100"/>
        <c:axId val="1197286976"/>
        <c:axId val="1948282687"/>
      </c:barChart>
      <c:catAx>
        <c:axId val="119728697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tx1"/>
                </a:solidFill>
                <a:latin typeface="+mn-lt"/>
                <a:ea typeface="+mn-ea"/>
                <a:cs typeface="+mn-cs"/>
              </a:defRPr>
            </a:pPr>
            <a:endParaRPr lang="da-DK"/>
          </a:p>
        </c:txPr>
        <c:crossAx val="1948282687"/>
        <c:crosses val="autoZero"/>
        <c:auto val="1"/>
        <c:lblAlgn val="ctr"/>
        <c:lblOffset val="100"/>
        <c:noMultiLvlLbl val="0"/>
      </c:catAx>
      <c:valAx>
        <c:axId val="1948282687"/>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197286976"/>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egendEntry>
        <c:idx val="7"/>
        <c:delete val="1"/>
      </c:legendEntry>
      <c:layout>
        <c:manualLayout>
          <c:xMode val="edge"/>
          <c:yMode val="edge"/>
          <c:x val="1.2347437673356977E-2"/>
          <c:y val="0.9599457940097913"/>
          <c:w val="0.96236656815194477"/>
          <c:h val="4.001214288274725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'2028'!$H$40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'2028'!$H$41:$H$42</c:f>
              <c:numCache>
                <c:formatCode>0.00</c:formatCode>
                <c:ptCount val="2"/>
                <c:pt idx="0">
                  <c:v>4.3118662292976424</c:v>
                </c:pt>
                <c:pt idx="1">
                  <c:v>1.6528820545640963</c:v>
                </c:pt>
              </c:numCache>
            </c:numRef>
          </c:val>
          <c:extLst>
            <c:ext xmlns:c16="http://schemas.microsoft.com/office/drawing/2014/chart" uri="{C3380CC4-5D6E-409C-BE32-E72D297353CC}">
              <c16:uniqueId val="{00000000-149B-427B-97D9-2185A97ECEA8}"/>
            </c:ext>
          </c:extLst>
        </c:ser>
        <c:ser>
          <c:idx val="1"/>
          <c:order val="1"/>
          <c:tx>
            <c:strRef>
              <c:f>'2028'!$I$40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E0B2-48C5-82A0-586841B372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'2028'!$I$41:$I$42</c:f>
              <c:numCache>
                <c:formatCode>0.00</c:formatCode>
                <c:ptCount val="2"/>
                <c:pt idx="0">
                  <c:v>0.34499999999999997</c:v>
                </c:pt>
                <c:pt idx="1">
                  <c:v>0</c:v>
                </c:pt>
              </c:numCache>
            </c:numRef>
          </c:val>
          <c:extLst>
            <c:ext xmlns:c16="http://schemas.microsoft.com/office/drawing/2014/chart" uri="{C3380CC4-5D6E-409C-BE32-E72D297353CC}">
              <c16:uniqueId val="{00000001-149B-427B-97D9-2185A97ECEA8}"/>
            </c:ext>
          </c:extLst>
        </c:ser>
        <c:ser>
          <c:idx val="2"/>
          <c:order val="2"/>
          <c:tx>
            <c:strRef>
              <c:f>'2028'!$J$40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'2028'!$J$41:$J$42</c:f>
              <c:numCache>
                <c:formatCode>General</c:formatCode>
                <c:ptCount val="2"/>
                <c:pt idx="0" formatCode="0.00">
                  <c:v>4</c:v>
                </c:pt>
                <c:pt idx="1">
                  <c:v>4</c:v>
                </c:pt>
              </c:numCache>
            </c:numRef>
          </c:val>
          <c:extLst>
            <c:ext xmlns:c16="http://schemas.microsoft.com/office/drawing/2014/chart" uri="{C3380CC4-5D6E-409C-BE32-E72D297353CC}">
              <c16:uniqueId val="{00000002-149B-427B-97D9-2185A97ECEA8}"/>
            </c:ext>
          </c:extLst>
        </c:ser>
        <c:ser>
          <c:idx val="3"/>
          <c:order val="3"/>
          <c:tx>
            <c:strRef>
              <c:f>'2028'!$F$44</c:f>
              <c:strCache>
                <c:ptCount val="1"/>
                <c:pt idx="0">
                  <c:v>Drivmiddel</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'2028'!$F$45:$F$46</c:f>
              <c:numCache>
                <c:formatCode>0.00</c:formatCode>
                <c:ptCount val="2"/>
                <c:pt idx="0">
                  <c:v>1.3952430555555555</c:v>
                </c:pt>
                <c:pt idx="1">
                  <c:v>3.3932000000000002</c:v>
                </c:pt>
              </c:numCache>
            </c:numRef>
          </c:val>
          <c:extLst>
            <c:ext xmlns:c16="http://schemas.microsoft.com/office/drawing/2014/chart" uri="{C3380CC4-5D6E-409C-BE32-E72D297353CC}">
              <c16:uniqueId val="{00000003-149B-427B-97D9-2185A97ECEA8}"/>
            </c:ext>
          </c:extLst>
        </c:ser>
        <c:ser>
          <c:idx val="4"/>
          <c:order val="4"/>
          <c:tx>
            <c:strRef>
              <c:f>'2028'!$G$44</c:f>
              <c:strCache>
                <c:ptCount val="1"/>
                <c:pt idx="0">
                  <c:v>Service og forsikring</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'2028'!$G$45:$G$46</c:f>
              <c:numCache>
                <c:formatCode>0.00</c:formatCode>
                <c:ptCount val="2"/>
                <c:pt idx="0">
                  <c:v>1.3414666666666666</c:v>
                </c:pt>
                <c:pt idx="1">
                  <c:v>0.88906666666666667</c:v>
                </c:pt>
              </c:numCache>
            </c:numRef>
          </c:val>
          <c:extLst>
            <c:ext xmlns:c16="http://schemas.microsoft.com/office/drawing/2014/chart" uri="{C3380CC4-5D6E-409C-BE32-E72D297353CC}">
              <c16:uniqueId val="{00000004-149B-427B-97D9-2185A97ECEA8}"/>
            </c:ext>
          </c:extLst>
        </c:ser>
        <c:ser>
          <c:idx val="5"/>
          <c:order val="5"/>
          <c:tx>
            <c:strRef>
              <c:f>'2028'!$H$44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'2028'!$H$45:$H$46</c:f>
              <c:numCache>
                <c:formatCode>0.00</c:formatCode>
                <c:ptCount val="2"/>
                <c:pt idx="0">
                  <c:v>0.36118409194769513</c:v>
                </c:pt>
                <c:pt idx="1">
                  <c:v>1.5852582096603602</c:v>
                </c:pt>
              </c:numCache>
            </c:numRef>
          </c:val>
          <c:extLst>
            <c:ext xmlns:c16="http://schemas.microsoft.com/office/drawing/2014/chart" uri="{C3380CC4-5D6E-409C-BE32-E72D297353CC}">
              <c16:uniqueId val="{00000005-149B-427B-97D9-2185A97ECEA8}"/>
            </c:ext>
          </c:extLst>
        </c:ser>
        <c:ser>
          <c:idx val="6"/>
          <c:order val="6"/>
          <c:tx>
            <c:strRef>
              <c:f>'2028'!$I$44</c:f>
              <c:strCache>
                <c:ptCount val="1"/>
                <c:pt idx="0">
                  <c:v>I alt</c:v>
                </c:pt>
              </c:strCache>
            </c:strRef>
          </c:tx>
          <c:spPr>
            <a:solidFill>
              <a:schemeClr val="accent1">
                <a:lumMod val="60000"/>
              </a:schemeClr>
            </a:solidFill>
            <a:ln>
              <a:noFill/>
            </a:ln>
            <a:effectLst/>
          </c:spPr>
          <c:invertIfNegative val="0"/>
          <c:dLbls>
            <c:dLbl>
              <c:idx val="0"/>
              <c:tx>
                <c:rich>
                  <a:bodyPr/>
                  <a:lstStyle/>
                  <a:p>
                    <a:fld id="{0448B3EF-FF64-4501-8696-564ECEE29479}"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49B-427B-97D9-2185A97ECEA8}"/>
                </c:ext>
              </c:extLst>
            </c:dLbl>
            <c:dLbl>
              <c:idx val="1"/>
              <c:tx>
                <c:rich>
                  <a:bodyPr/>
                  <a:lstStyle/>
                  <a:p>
                    <a:fld id="{28FB09FF-C963-4A03-8BD5-F9F867767CC3}"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49B-427B-97D9-2185A97ECEA8}"/>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tx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'2028'!$G$41:$G$42</c:f>
              <c:strCache>
                <c:ptCount val="2"/>
                <c:pt idx="0">
                  <c:v>El</c:v>
                </c:pt>
                <c:pt idx="1">
                  <c:v>Diesel</c:v>
                </c:pt>
              </c:strCache>
            </c:strRef>
          </c:cat>
          <c:val>
            <c:numRef>
              <c:f>'2028'!$I$45:$I$46</c:f>
              <c:numCache>
                <c:formatCode>General</c:formatCode>
                <c:ptCount val="2"/>
                <c:pt idx="0">
                  <c:v>1E-14</c:v>
                </c:pt>
                <c:pt idx="1">
                  <c:v>1E-14</c:v>
                </c:pt>
              </c:numCache>
            </c:numRef>
          </c:val>
          <c:extLst>
            <c:ext xmlns:c15="http://schemas.microsoft.com/office/drawing/2012/chart" uri="{02D57815-91ED-43cb-92C2-25804820EDAC}">
              <c15:datalabelsRange>
                <c15:f>'2028'!$J$45:$J$46</c15:f>
                <c15:dlblRangeCache>
                  <c:ptCount val="2"/>
                  <c:pt idx="0">
                    <c:v>Total 11,75</c:v>
                  </c:pt>
                  <c:pt idx="1">
                    <c:v>Total 11,52</c:v>
                  </c:pt>
                </c15:dlblRangeCache>
              </c15:datalabelsRange>
            </c:ext>
            <c:ext xmlns:c16="http://schemas.microsoft.com/office/drawing/2014/chart" uri="{C3380CC4-5D6E-409C-BE32-E72D297353CC}">
              <c16:uniqueId val="{00000009-149B-427B-97D9-2185A97ECEA8}"/>
            </c:ext>
          </c:extLst>
        </c:ser>
        <c:ser>
          <c:idx val="7"/>
          <c:order val="7"/>
          <c:tx>
            <c:strRef>
              <c:f>'2028'!$J$44</c:f>
              <c:strCache>
                <c:ptCount val="1"/>
              </c:strCache>
            </c:strRef>
          </c:tx>
          <c:spPr>
            <a:solidFill>
              <a:schemeClr val="accent2">
                <a:lumMod val="60000"/>
              </a:schemeClr>
            </a:solidFill>
            <a:ln>
              <a:noFill/>
            </a:ln>
            <a:effectLst/>
          </c:spPr>
          <c:invertIfNegative val="0"/>
          <c:dLbls>
            <c:delete val="1"/>
          </c:dLbls>
          <c:cat>
            <c:strRef>
              <c:f>'2028'!$G$41:$G$42</c:f>
              <c:strCache>
                <c:ptCount val="2"/>
                <c:pt idx="0">
                  <c:v>El</c:v>
                </c:pt>
                <c:pt idx="1">
                  <c:v>Diesel</c:v>
                </c:pt>
              </c:strCache>
            </c:strRef>
          </c:cat>
          <c:val>
            <c:numRef>
              <c:f>'2028'!$J$45:$J$46</c:f>
              <c:numCache>
                <c:formatCode>0.0000</c:formatCode>
                <c:ptCount val="2"/>
                <c:pt idx="0">
                  <c:v>0</c:v>
                </c:pt>
                <c:pt idx="1">
                  <c:v>0</c:v>
                </c:pt>
              </c:numCache>
            </c:numRef>
          </c:val>
          <c:extLst>
            <c:ext xmlns:c16="http://schemas.microsoft.com/office/drawing/2014/chart" uri="{C3380CC4-5D6E-409C-BE32-E72D297353CC}">
              <c16:uniqueId val="{0000000A-149B-427B-97D9-2185A97ECEA8}"/>
            </c:ext>
          </c:extLst>
        </c:ser>
        <c:dLbls>
          <c:dLblPos val="ctr"/>
          <c:showLegendKey val="0"/>
          <c:showVal val="1"/>
          <c:showCatName val="0"/>
          <c:showSerName val="0"/>
          <c:showPercent val="0"/>
          <c:showBubbleSize val="0"/>
        </c:dLbls>
        <c:gapWidth val="150"/>
        <c:overlap val="100"/>
        <c:axId val="1197286976"/>
        <c:axId val="1948282687"/>
      </c:barChart>
      <c:catAx>
        <c:axId val="119728697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tx1"/>
                </a:solidFill>
                <a:latin typeface="+mn-lt"/>
                <a:ea typeface="+mn-ea"/>
                <a:cs typeface="+mn-cs"/>
              </a:defRPr>
            </a:pPr>
            <a:endParaRPr lang="da-DK"/>
          </a:p>
        </c:txPr>
        <c:crossAx val="1948282687"/>
        <c:crosses val="autoZero"/>
        <c:auto val="1"/>
        <c:lblAlgn val="ctr"/>
        <c:lblOffset val="100"/>
        <c:noMultiLvlLbl val="0"/>
      </c:catAx>
      <c:valAx>
        <c:axId val="1948282687"/>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197286976"/>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egendEntry>
        <c:idx val="7"/>
        <c:delete val="1"/>
      </c:legendEntry>
      <c:layout>
        <c:manualLayout>
          <c:xMode val="edge"/>
          <c:yMode val="edge"/>
          <c:x val="1.2347437673356977E-2"/>
          <c:y val="0.9599457940097913"/>
          <c:w val="0.96236656815194477"/>
          <c:h val="4.001214288274725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'2029'!$H$40</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'2029'!$H$41:$H$42</c:f>
              <c:numCache>
                <c:formatCode>0.00</c:formatCode>
                <c:ptCount val="2"/>
                <c:pt idx="0">
                  <c:v>4.3118662292976424</c:v>
                </c:pt>
                <c:pt idx="1">
                  <c:v>1.6528820545640963</c:v>
                </c:pt>
              </c:numCache>
            </c:numRef>
          </c:val>
          <c:extLst>
            <c:ext xmlns:c16="http://schemas.microsoft.com/office/drawing/2014/chart" uri="{C3380CC4-5D6E-409C-BE32-E72D297353CC}">
              <c16:uniqueId val="{00000000-C8E3-416A-9E19-2CB52FA0CFF5}"/>
            </c:ext>
          </c:extLst>
        </c:ser>
        <c:ser>
          <c:idx val="1"/>
          <c:order val="1"/>
          <c:tx>
            <c:strRef>
              <c:f>'2029'!$I$40</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6E41-4FA9-B5D5-D2471FB222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'2029'!$I$41:$I$42</c:f>
              <c:numCache>
                <c:formatCode>0.00</c:formatCode>
                <c:ptCount val="2"/>
                <c:pt idx="0">
                  <c:v>0.34499999999999997</c:v>
                </c:pt>
                <c:pt idx="1">
                  <c:v>0</c:v>
                </c:pt>
              </c:numCache>
            </c:numRef>
          </c:val>
          <c:extLst>
            <c:ext xmlns:c16="http://schemas.microsoft.com/office/drawing/2014/chart" uri="{C3380CC4-5D6E-409C-BE32-E72D297353CC}">
              <c16:uniqueId val="{00000001-C8E3-416A-9E19-2CB52FA0CFF5}"/>
            </c:ext>
          </c:extLst>
        </c:ser>
        <c:ser>
          <c:idx val="2"/>
          <c:order val="2"/>
          <c:tx>
            <c:strRef>
              <c:f>'2029'!$J$40</c:f>
              <c:strCache>
                <c:ptCount val="1"/>
                <c:pt idx="0">
                  <c:v>Chaufførløn</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'2029'!$J$41:$J$42</c:f>
              <c:numCache>
                <c:formatCode>General</c:formatCode>
                <c:ptCount val="2"/>
                <c:pt idx="0" formatCode="0.0">
                  <c:v>4</c:v>
                </c:pt>
                <c:pt idx="1">
                  <c:v>4</c:v>
                </c:pt>
              </c:numCache>
            </c:numRef>
          </c:val>
          <c:extLst>
            <c:ext xmlns:c16="http://schemas.microsoft.com/office/drawing/2014/chart" uri="{C3380CC4-5D6E-409C-BE32-E72D297353CC}">
              <c16:uniqueId val="{00000002-C8E3-416A-9E19-2CB52FA0CFF5}"/>
            </c:ext>
          </c:extLst>
        </c:ser>
        <c:ser>
          <c:idx val="3"/>
          <c:order val="3"/>
          <c:tx>
            <c:strRef>
              <c:f>'2029'!$F$44</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'2029'!$F$45:$F$46</c:f>
              <c:numCache>
                <c:formatCode>0.00</c:formatCode>
                <c:ptCount val="2"/>
                <c:pt idx="0">
                  <c:v>1.3952430555555555</c:v>
                </c:pt>
                <c:pt idx="1">
                  <c:v>3.3932000000000002</c:v>
                </c:pt>
              </c:numCache>
            </c:numRef>
          </c:val>
          <c:extLst>
            <c:ext xmlns:c16="http://schemas.microsoft.com/office/drawing/2014/chart" uri="{C3380CC4-5D6E-409C-BE32-E72D297353CC}">
              <c16:uniqueId val="{00000003-C8E3-416A-9E19-2CB52FA0CFF5}"/>
            </c:ext>
          </c:extLst>
        </c:ser>
        <c:ser>
          <c:idx val="4"/>
          <c:order val="4"/>
          <c:tx>
            <c:strRef>
              <c:f>'2029'!$G$44</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'2029'!$G$45:$G$46</c:f>
              <c:numCache>
                <c:formatCode>0.00</c:formatCode>
                <c:ptCount val="2"/>
                <c:pt idx="0">
                  <c:v>1.3414666666666666</c:v>
                </c:pt>
                <c:pt idx="1">
                  <c:v>0.88906666666666667</c:v>
                </c:pt>
              </c:numCache>
            </c:numRef>
          </c:val>
          <c:extLst>
            <c:ext xmlns:c16="http://schemas.microsoft.com/office/drawing/2014/chart" uri="{C3380CC4-5D6E-409C-BE32-E72D297353CC}">
              <c16:uniqueId val="{00000004-C8E3-416A-9E19-2CB52FA0CFF5}"/>
            </c:ext>
          </c:extLst>
        </c:ser>
        <c:ser>
          <c:idx val="5"/>
          <c:order val="5"/>
          <c:tx>
            <c:strRef>
              <c:f>'2029'!$H$44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'2029'!$H$45:$H$46</c:f>
              <c:numCache>
                <c:formatCode>0.00</c:formatCode>
                <c:ptCount val="2"/>
                <c:pt idx="0">
                  <c:v>0.43607030593946461</c:v>
                </c:pt>
                <c:pt idx="1">
                  <c:v>1.7709938974851283</c:v>
                </c:pt>
              </c:numCache>
            </c:numRef>
          </c:val>
          <c:extLst>
            <c:ext xmlns:c16="http://schemas.microsoft.com/office/drawing/2014/chart" uri="{C3380CC4-5D6E-409C-BE32-E72D297353CC}">
              <c16:uniqueId val="{00000005-C8E3-416A-9E19-2CB52FA0CFF5}"/>
            </c:ext>
          </c:extLst>
        </c:ser>
        <c:ser>
          <c:idx val="6"/>
          <c:order val="6"/>
          <c:tx>
            <c:strRef>
              <c:f>'2029'!$I$44</c:f>
              <c:strCache>
                <c:ptCount val="1"/>
                <c:pt idx="0">
                  <c:v>I alt</c:v>
                </c:pt>
              </c:strCache>
            </c:strRef>
          </c:tx>
          <c:spPr>
            <a:solidFill>
              <a:schemeClr val="accent1">
                <a:lumMod val="60000"/>
              </a:schemeClr>
            </a:solidFill>
            <a:ln>
              <a:noFill/>
            </a:ln>
            <a:effectLst/>
          </c:spPr>
          <c:invertIfNegative val="0"/>
          <c:dLbls>
            <c:dLbl>
              <c:idx val="0"/>
              <c:tx>
                <c:rich>
                  <a:bodyPr/>
                  <a:lstStyle/>
                  <a:p>
                    <a:fld id="{703FD37B-DB0A-4AD1-9258-BB67FB40A7EC}"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C8E3-416A-9E19-2CB52FA0CFF5}"/>
                </c:ext>
              </c:extLst>
            </c:dLbl>
            <c:dLbl>
              <c:idx val="1"/>
              <c:tx>
                <c:rich>
                  <a:bodyPr/>
                  <a:lstStyle/>
                  <a:p>
                    <a:fld id="{9592F0DB-2547-4D08-8B87-7C09434B1E9D}"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8E3-416A-9E19-2CB52FA0CFF5}"/>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dk1">
                        <a:lumMod val="75000"/>
                        <a:lumOff val="25000"/>
                      </a:schemeClr>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'2029'!$G$41:$G$42</c:f>
              <c:strCache>
                <c:ptCount val="2"/>
                <c:pt idx="0">
                  <c:v>El</c:v>
                </c:pt>
                <c:pt idx="1">
                  <c:v>Diesel</c:v>
                </c:pt>
              </c:strCache>
            </c:strRef>
          </c:cat>
          <c:val>
            <c:numRef>
              <c:f>'2029'!$I$45:$I$46</c:f>
              <c:numCache>
                <c:formatCode>General</c:formatCode>
                <c:ptCount val="2"/>
                <c:pt idx="0">
                  <c:v>1E-14</c:v>
                </c:pt>
                <c:pt idx="1">
                  <c:v>1E-14</c:v>
                </c:pt>
              </c:numCache>
            </c:numRef>
          </c:val>
          <c:extLst>
            <c:ext xmlns:c15="http://schemas.microsoft.com/office/drawing/2012/chart" uri="{02D57815-91ED-43cb-92C2-25804820EDAC}">
              <c15:datalabelsRange>
                <c15:f>'2029'!$J$45:$J$46</c15:f>
                <c15:dlblRangeCache>
                  <c:ptCount val="2"/>
                  <c:pt idx="0">
                    <c:v>Total 11,83</c:v>
                  </c:pt>
                  <c:pt idx="1">
                    <c:v>Total 11,71</c:v>
                  </c:pt>
                </c15:dlblRangeCache>
              </c15:datalabelsRange>
            </c:ext>
            <c:ext xmlns:c16="http://schemas.microsoft.com/office/drawing/2014/chart" uri="{C3380CC4-5D6E-409C-BE32-E72D297353CC}">
              <c16:uniqueId val="{00000008-C8E3-416A-9E19-2CB52FA0CFF5}"/>
            </c:ext>
          </c:extLst>
        </c:ser>
        <c:dLbls>
          <c:dLblPos val="ctr"/>
          <c:showLegendKey val="0"/>
          <c:showVal val="1"/>
          <c:showCatName val="0"/>
          <c:showSerName val="0"/>
          <c:showPercent val="0"/>
          <c:showBubbleSize val="0"/>
        </c:dLbls>
        <c:gapWidth val="150"/>
        <c:overlap val="100"/>
        <c:axId val="1310375840"/>
        <c:axId val="1329650064"/>
      </c:barChart>
      <c:catAx>
        <c:axId val="131037584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329650064"/>
        <c:crosses val="autoZero"/>
        <c:auto val="1"/>
        <c:lblAlgn val="ctr"/>
        <c:lblOffset val="100"/>
        <c:noMultiLvlLbl val="0"/>
      </c:catAx>
      <c:valAx>
        <c:axId val="1329650064"/>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310375840"/>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0.10094058376931071"/>
          <c:y val="0.93948381452318463"/>
          <c:w val="0.87686603604079683"/>
          <c:h val="4.464316960379952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Økonomisk</a:t>
            </a:r>
            <a:r>
              <a:rPr lang="da-DK" baseline="0">
                <a:solidFill>
                  <a:sysClr val="windowText" lastClr="000000"/>
                </a:solidFill>
              </a:rPr>
              <a:t> tab/overskud ved forskellige indkøbsår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'Dataark TCO'!$R$30</c:f>
              <c:strCache>
                <c:ptCount val="1"/>
                <c:pt idx="0">
                  <c:v>Diesel</c:v>
                </c:pt>
              </c:strCache>
            </c:strRef>
          </c:tx>
          <c:spPr>
            <a:ln w="22225" cap="rnd">
              <a:solidFill>
                <a:schemeClr val="accent2"/>
              </a:solidFill>
              <a:round/>
            </a:ln>
            <a:effectLst/>
          </c:spPr>
          <c:marker>
            <c:symbol val="none"/>
          </c:marker>
          <c:dLbls>
            <c:numFmt formatCode="#,##0\ &quot;kr.&quot;"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TCO'!$S$29:$Y$29</c:f>
              <c:numCache>
                <c:formatCode>General</c:formatCode>
                <c:ptCount val="7"/>
                <c:pt idx="0">
                  <c:v>2024</c:v>
                </c:pt>
                <c:pt idx="1">
                  <c:v>2025</c:v>
                </c:pt>
                <c:pt idx="2">
                  <c:v>2026</c:v>
                </c:pt>
                <c:pt idx="3">
                  <c:v>2027</c:v>
                </c:pt>
                <c:pt idx="4">
                  <c:v>2028</c:v>
                </c:pt>
                <c:pt idx="5">
                  <c:v>2029</c:v>
                </c:pt>
              </c:numCache>
            </c:numRef>
          </c:cat>
          <c:val>
            <c:numRef>
              <c:f>'Dataark TCO'!$S$30:$Y$30</c:f>
              <c:numCache>
                <c:formatCode>_-* #,##0\ "kr."_-;\-* #,##0\ "kr."_-;_-* "-"??\ "kr."_-;_-@_-</c:formatCode>
                <c:ptCount val="7"/>
                <c:pt idx="0">
                  <c:v>-1065818.6198952766</c:v>
                </c:pt>
                <c:pt idx="1">
                  <c:v>-1065818.6198952766</c:v>
                </c:pt>
                <c:pt idx="2">
                  <c:v>-1065818.6198952766</c:v>
                </c:pt>
                <c:pt idx="3">
                  <c:v>-1065818.6198952766</c:v>
                </c:pt>
                <c:pt idx="4">
                  <c:v>-1065818.6198952766</c:v>
                </c:pt>
                <c:pt idx="5">
                  <c:v>-1065818.6198952766</c:v>
                </c:pt>
              </c:numCache>
            </c:numRef>
          </c:val>
          <c:smooth val="0"/>
          <c:extLst>
            <c:ext xmlns:c16="http://schemas.microsoft.com/office/drawing/2014/chart" uri="{C3380CC4-5D6E-409C-BE32-E72D297353CC}">
              <c16:uniqueId val="{00000000-504C-4CA4-8CD4-F128C88530AF}"/>
            </c:ext>
          </c:extLst>
        </c:ser>
        <c:dLbls>
          <c:dLblPos val="t"/>
          <c:showLegendKey val="0"/>
          <c:showVal val="1"/>
          <c:showCatName val="0"/>
          <c:showSerName val="0"/>
          <c:showPercent val="0"/>
          <c:showBubbleSize val="0"/>
        </c:dLbls>
        <c:smooth val="0"/>
        <c:axId val="833872624"/>
        <c:axId val="833872952"/>
      </c:lineChart>
      <c:catAx>
        <c:axId val="83387262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833872952"/>
        <c:crosses val="autoZero"/>
        <c:auto val="1"/>
        <c:lblAlgn val="ctr"/>
        <c:lblOffset val="100"/>
        <c:noMultiLvlLbl val="0"/>
      </c:catAx>
      <c:valAx>
        <c:axId val="833872952"/>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83387262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6938104642247878"/>
          <c:y val="0.95020382025422423"/>
          <c:w val="0.81417346817560765"/>
          <c:h val="3.260368030886128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da-DK" sz="1600" b="1" i="0" u="sng" strike="noStrike" kern="1200" cap="none" spc="0" normalizeH="0" baseline="0">
                <a:solidFill>
                  <a:sysClr val="windowText" lastClr="000000"/>
                </a:solidFill>
                <a:effectLst/>
              </a:rPr>
              <a:t>Gennemsnitlig pris pr km over hele perioden</a:t>
            </a:r>
            <a:endParaRPr lang="da-DK" sz="1400" b="1" i="0" u="sng" strike="noStrike" kern="1200" cap="none" spc="0" normalizeH="0" baseline="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da-DK"/>
        </a:p>
      </c:txPr>
    </c:title>
    <c:autoTitleDeleted val="0"/>
    <c:plotArea>
      <c:layout/>
      <c:barChart>
        <c:barDir val="col"/>
        <c:grouping val="stacked"/>
        <c:varyColors val="0"/>
        <c:ser>
          <c:idx val="0"/>
          <c:order val="0"/>
          <c:tx>
            <c:strRef>
              <c:f>'2030'!$H$43</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'2030'!$H$44:$H$45</c:f>
              <c:numCache>
                <c:formatCode>0.00</c:formatCode>
                <c:ptCount val="2"/>
                <c:pt idx="0">
                  <c:v>4.3118662292976424</c:v>
                </c:pt>
                <c:pt idx="1">
                  <c:v>1.6528820545640963</c:v>
                </c:pt>
              </c:numCache>
            </c:numRef>
          </c:val>
          <c:extLst>
            <c:ext xmlns:c16="http://schemas.microsoft.com/office/drawing/2014/chart" uri="{C3380CC4-5D6E-409C-BE32-E72D297353CC}">
              <c16:uniqueId val="{00000000-4EE0-4458-99F6-BFAB5AB39544}"/>
            </c:ext>
          </c:extLst>
        </c:ser>
        <c:ser>
          <c:idx val="1"/>
          <c:order val="1"/>
          <c:tx>
            <c:strRef>
              <c:f>'2030'!$I$43</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14D-4507-A125-07BF685B23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'2030'!$I$44:$I$45</c:f>
              <c:numCache>
                <c:formatCode>0.00</c:formatCode>
                <c:ptCount val="2"/>
                <c:pt idx="0">
                  <c:v>0.34499999999999997</c:v>
                </c:pt>
                <c:pt idx="1">
                  <c:v>0</c:v>
                </c:pt>
              </c:numCache>
            </c:numRef>
          </c:val>
          <c:extLst>
            <c:ext xmlns:c16="http://schemas.microsoft.com/office/drawing/2014/chart" uri="{C3380CC4-5D6E-409C-BE32-E72D297353CC}">
              <c16:uniqueId val="{00000001-4EE0-4458-99F6-BFAB5AB39544}"/>
            </c:ext>
          </c:extLst>
        </c:ser>
        <c:ser>
          <c:idx val="2"/>
          <c:order val="2"/>
          <c:tx>
            <c:strRef>
              <c:f>'2030'!$J$43</c:f>
              <c:strCache>
                <c:ptCount val="1"/>
                <c:pt idx="0">
                  <c:v>Chaufførlønninger</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'2030'!$J$44:$J$45</c:f>
              <c:numCache>
                <c:formatCode>General</c:formatCode>
                <c:ptCount val="2"/>
                <c:pt idx="0" formatCode="0.00">
                  <c:v>4</c:v>
                </c:pt>
                <c:pt idx="1">
                  <c:v>4</c:v>
                </c:pt>
              </c:numCache>
            </c:numRef>
          </c:val>
          <c:extLst>
            <c:ext xmlns:c16="http://schemas.microsoft.com/office/drawing/2014/chart" uri="{C3380CC4-5D6E-409C-BE32-E72D297353CC}">
              <c16:uniqueId val="{00000002-4EE0-4458-99F6-BFAB5AB39544}"/>
            </c:ext>
          </c:extLst>
        </c:ser>
        <c:ser>
          <c:idx val="3"/>
          <c:order val="3"/>
          <c:tx>
            <c:strRef>
              <c:f>'2030'!$F$47</c:f>
              <c:strCache>
                <c:ptCount val="1"/>
                <c:pt idx="0">
                  <c:v>Drivmiddel</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'2030'!$F$48:$F$49</c:f>
              <c:numCache>
                <c:formatCode>0.00</c:formatCode>
                <c:ptCount val="2"/>
                <c:pt idx="0">
                  <c:v>1.3952430555555555</c:v>
                </c:pt>
                <c:pt idx="1">
                  <c:v>3.3932000000000002</c:v>
                </c:pt>
              </c:numCache>
            </c:numRef>
          </c:val>
          <c:extLst>
            <c:ext xmlns:c16="http://schemas.microsoft.com/office/drawing/2014/chart" uri="{C3380CC4-5D6E-409C-BE32-E72D297353CC}">
              <c16:uniqueId val="{00000003-4EE0-4458-99F6-BFAB5AB39544}"/>
            </c:ext>
          </c:extLst>
        </c:ser>
        <c:ser>
          <c:idx val="4"/>
          <c:order val="4"/>
          <c:tx>
            <c:strRef>
              <c:f>'2030'!$G$47</c:f>
              <c:strCache>
                <c:ptCount val="1"/>
                <c:pt idx="0">
                  <c:v>Service og forsikring</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'2030'!$G$48:$G$49</c:f>
              <c:numCache>
                <c:formatCode>0.00</c:formatCode>
                <c:ptCount val="2"/>
                <c:pt idx="0">
                  <c:v>1.3414666666666666</c:v>
                </c:pt>
                <c:pt idx="1">
                  <c:v>0.88906666666666667</c:v>
                </c:pt>
              </c:numCache>
            </c:numRef>
          </c:val>
          <c:extLst>
            <c:ext xmlns:c16="http://schemas.microsoft.com/office/drawing/2014/chart" uri="{C3380CC4-5D6E-409C-BE32-E72D297353CC}">
              <c16:uniqueId val="{00000004-4EE0-4458-99F6-BFAB5AB39544}"/>
            </c:ext>
          </c:extLst>
        </c:ser>
        <c:ser>
          <c:idx val="5"/>
          <c:order val="5"/>
          <c:tx>
            <c:strRef>
              <c:f>'2030'!$H$47</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'2030'!$H$48:$H$49</c:f>
              <c:numCache>
                <c:formatCode>0.00</c:formatCode>
                <c:ptCount val="2"/>
                <c:pt idx="0">
                  <c:v>0.43607030593946461</c:v>
                </c:pt>
                <c:pt idx="1">
                  <c:v>1.7709938974851283</c:v>
                </c:pt>
              </c:numCache>
            </c:numRef>
          </c:val>
          <c:extLst>
            <c:ext xmlns:c16="http://schemas.microsoft.com/office/drawing/2014/chart" uri="{C3380CC4-5D6E-409C-BE32-E72D297353CC}">
              <c16:uniqueId val="{00000005-4EE0-4458-99F6-BFAB5AB39544}"/>
            </c:ext>
          </c:extLst>
        </c:ser>
        <c:ser>
          <c:idx val="6"/>
          <c:order val="6"/>
          <c:tx>
            <c:strRef>
              <c:f>'2030'!$I$47</c:f>
              <c:strCache>
                <c:ptCount val="1"/>
                <c:pt idx="0">
                  <c:v>I alt</c:v>
                </c:pt>
              </c:strCache>
            </c:strRef>
          </c:tx>
          <c:spPr>
            <a:solidFill>
              <a:schemeClr val="accent1">
                <a:lumMod val="60000"/>
              </a:schemeClr>
            </a:solidFill>
            <a:ln>
              <a:noFill/>
            </a:ln>
            <a:effectLst/>
          </c:spPr>
          <c:invertIfNegative val="0"/>
          <c:dLbls>
            <c:dLbl>
              <c:idx val="0"/>
              <c:tx>
                <c:rich>
                  <a:bodyPr/>
                  <a:lstStyle/>
                  <a:p>
                    <a:fld id="{0448B3EF-FF64-4501-8696-564ECEE29479}"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EE0-4458-99F6-BFAB5AB39544}"/>
                </c:ext>
              </c:extLst>
            </c:dLbl>
            <c:dLbl>
              <c:idx val="1"/>
              <c:tx>
                <c:rich>
                  <a:bodyPr/>
                  <a:lstStyle/>
                  <a:p>
                    <a:fld id="{28FB09FF-C963-4A03-8BD5-F9F867767CC3}"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EE0-4458-99F6-BFAB5AB39544}"/>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chemeClr val="tx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'2030'!$G$44:$G$45</c:f>
              <c:strCache>
                <c:ptCount val="2"/>
                <c:pt idx="0">
                  <c:v>El</c:v>
                </c:pt>
                <c:pt idx="1">
                  <c:v>Diesel</c:v>
                </c:pt>
              </c:strCache>
            </c:strRef>
          </c:cat>
          <c:val>
            <c:numRef>
              <c:f>'2030'!$I$48:$I$49</c:f>
              <c:numCache>
                <c:formatCode>General</c:formatCode>
                <c:ptCount val="2"/>
                <c:pt idx="0">
                  <c:v>1E-14</c:v>
                </c:pt>
                <c:pt idx="1">
                  <c:v>1E-14</c:v>
                </c:pt>
              </c:numCache>
            </c:numRef>
          </c:val>
          <c:extLst>
            <c:ext xmlns:c15="http://schemas.microsoft.com/office/drawing/2012/chart" uri="{02D57815-91ED-43cb-92C2-25804820EDAC}">
              <c15:datalabelsRange>
                <c15:f>'2030'!$J$45:$J$49</c15:f>
                <c15:dlblRangeCache>
                  <c:ptCount val="5"/>
                  <c:pt idx="0">
                    <c:v>4</c:v>
                  </c:pt>
                  <c:pt idx="3">
                    <c:v>Total 11,83</c:v>
                  </c:pt>
                  <c:pt idx="4">
                    <c:v>Total 11,71</c:v>
                  </c:pt>
                </c15:dlblRangeCache>
              </c15:datalabelsRange>
            </c:ext>
            <c:ext xmlns:c16="http://schemas.microsoft.com/office/drawing/2014/chart" uri="{C3380CC4-5D6E-409C-BE32-E72D297353CC}">
              <c16:uniqueId val="{00000009-4EE0-4458-99F6-BFAB5AB39544}"/>
            </c:ext>
          </c:extLst>
        </c:ser>
        <c:ser>
          <c:idx val="7"/>
          <c:order val="7"/>
          <c:tx>
            <c:strRef>
              <c:f>'2030'!$J$47</c:f>
              <c:strCache>
                <c:ptCount val="1"/>
              </c:strCache>
            </c:strRef>
          </c:tx>
          <c:spPr>
            <a:solidFill>
              <a:schemeClr val="accent2">
                <a:lumMod val="60000"/>
              </a:schemeClr>
            </a:solidFill>
            <a:ln>
              <a:noFill/>
            </a:ln>
            <a:effectLst/>
          </c:spPr>
          <c:invertIfNegative val="0"/>
          <c:dLbls>
            <c:delete val="1"/>
          </c:dLbls>
          <c:cat>
            <c:strRef>
              <c:f>'2030'!$G$44:$G$45</c:f>
              <c:strCache>
                <c:ptCount val="2"/>
                <c:pt idx="0">
                  <c:v>El</c:v>
                </c:pt>
                <c:pt idx="1">
                  <c:v>Diesel</c:v>
                </c:pt>
              </c:strCache>
            </c:strRef>
          </c:cat>
          <c:val>
            <c:numRef>
              <c:f>'2030'!$J$48:$J$49</c:f>
              <c:numCache>
                <c:formatCode>0.0000</c:formatCode>
                <c:ptCount val="2"/>
                <c:pt idx="0">
                  <c:v>0</c:v>
                </c:pt>
                <c:pt idx="1">
                  <c:v>0</c:v>
                </c:pt>
              </c:numCache>
            </c:numRef>
          </c:val>
          <c:extLst>
            <c:ext xmlns:c16="http://schemas.microsoft.com/office/drawing/2014/chart" uri="{C3380CC4-5D6E-409C-BE32-E72D297353CC}">
              <c16:uniqueId val="{0000000A-4EE0-4458-99F6-BFAB5AB39544}"/>
            </c:ext>
          </c:extLst>
        </c:ser>
        <c:dLbls>
          <c:dLblPos val="ctr"/>
          <c:showLegendKey val="0"/>
          <c:showVal val="1"/>
          <c:showCatName val="0"/>
          <c:showSerName val="0"/>
          <c:showPercent val="0"/>
          <c:showBubbleSize val="0"/>
        </c:dLbls>
        <c:gapWidth val="150"/>
        <c:overlap val="100"/>
        <c:axId val="1197286976"/>
        <c:axId val="1948282687"/>
      </c:barChart>
      <c:catAx>
        <c:axId val="119728697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tx1"/>
                </a:solidFill>
                <a:latin typeface="+mn-lt"/>
                <a:ea typeface="+mn-ea"/>
                <a:cs typeface="+mn-cs"/>
              </a:defRPr>
            </a:pPr>
            <a:endParaRPr lang="da-DK"/>
          </a:p>
        </c:txPr>
        <c:crossAx val="1948282687"/>
        <c:crosses val="autoZero"/>
        <c:auto val="1"/>
        <c:lblAlgn val="ctr"/>
        <c:lblOffset val="100"/>
        <c:noMultiLvlLbl val="0"/>
      </c:catAx>
      <c:valAx>
        <c:axId val="1948282687"/>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1197286976"/>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egendEntry>
        <c:idx val="7"/>
        <c:delete val="1"/>
      </c:legendEntry>
      <c:layout>
        <c:manualLayout>
          <c:xMode val="edge"/>
          <c:yMode val="edge"/>
          <c:x val="1.2347437673356977E-2"/>
          <c:y val="0.9599457940097913"/>
          <c:w val="0.96236656815194477"/>
          <c:h val="4.001214288274725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Pris pr km</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manualLayout>
          <c:layoutTarget val="inner"/>
          <c:xMode val="edge"/>
          <c:yMode val="edge"/>
          <c:x val="8.4672257378092766E-2"/>
          <c:y val="5.9294990662206191E-2"/>
          <c:w val="0.89849100928081238"/>
          <c:h val="0.83559494715040206"/>
        </c:manualLayout>
      </c:layout>
      <c:lineChart>
        <c:grouping val="standard"/>
        <c:varyColors val="0"/>
        <c:ser>
          <c:idx val="3"/>
          <c:order val="0"/>
          <c:tx>
            <c:strRef>
              <c:f>'Dataark TCO'!$AB$3</c:f>
              <c:strCache>
                <c:ptCount val="1"/>
                <c:pt idx="0">
                  <c:v>El</c:v>
                </c:pt>
              </c:strCache>
            </c:strRef>
          </c:tx>
          <c:spPr>
            <a:ln w="2222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TCO'!$W$3:$AH$3</c:f>
              <c:numCache>
                <c:formatCode>0.00</c:formatCode>
                <c:ptCount val="12"/>
                <c:pt idx="0">
                  <c:v>1.3414666666666666</c:v>
                </c:pt>
                <c:pt idx="1">
                  <c:v>0.17710363927279796</c:v>
                </c:pt>
                <c:pt idx="2" formatCode="General">
                  <c:v>1E-14</c:v>
                </c:pt>
                <c:pt idx="3" formatCode="0.0000">
                  <c:v>0</c:v>
                </c:pt>
                <c:pt idx="5" formatCode="General">
                  <c:v>0</c:v>
                </c:pt>
                <c:pt idx="6">
                  <c:v>11.57</c:v>
                </c:pt>
                <c:pt idx="7">
                  <c:v>11.67</c:v>
                </c:pt>
                <c:pt idx="8">
                  <c:v>11.67</c:v>
                </c:pt>
                <c:pt idx="9">
                  <c:v>11.67</c:v>
                </c:pt>
                <c:pt idx="10">
                  <c:v>11.75</c:v>
                </c:pt>
                <c:pt idx="11">
                  <c:v>11.83</c:v>
                </c:pt>
              </c:numCache>
            </c:numRef>
          </c:val>
          <c:smooth val="0"/>
          <c:extLst>
            <c:ext xmlns:c16="http://schemas.microsoft.com/office/drawing/2014/chart" uri="{C3380CC4-5D6E-409C-BE32-E72D297353CC}">
              <c16:uniqueId val="{00000000-9B41-483C-A748-8C3C6D7CBD53}"/>
            </c:ext>
          </c:extLst>
        </c:ser>
        <c:ser>
          <c:idx val="4"/>
          <c:order val="1"/>
          <c:tx>
            <c:strRef>
              <c:f>'Dataark TCO'!$AB$4</c:f>
              <c:strCache>
                <c:ptCount val="1"/>
                <c:pt idx="0">
                  <c:v>Diesel</c:v>
                </c:pt>
              </c:strCache>
            </c:strRef>
          </c:tx>
          <c:spPr>
            <a:ln w="2222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TCO'!$W$4:$AH$4</c:f>
              <c:numCache>
                <c:formatCode>0.00</c:formatCode>
                <c:ptCount val="12"/>
                <c:pt idx="0">
                  <c:v>1.3414666666666666</c:v>
                </c:pt>
                <c:pt idx="1">
                  <c:v>0.27557030593946463</c:v>
                </c:pt>
                <c:pt idx="2" formatCode="General">
                  <c:v>1E-14</c:v>
                </c:pt>
                <c:pt idx="3" formatCode="0.0000">
                  <c:v>0</c:v>
                </c:pt>
                <c:pt idx="5" formatCode="General">
                  <c:v>0</c:v>
                </c:pt>
                <c:pt idx="6">
                  <c:v>10.09</c:v>
                </c:pt>
                <c:pt idx="7">
                  <c:v>10.94</c:v>
                </c:pt>
                <c:pt idx="8">
                  <c:v>10.94</c:v>
                </c:pt>
                <c:pt idx="9">
                  <c:v>10.94</c:v>
                </c:pt>
                <c:pt idx="10">
                  <c:v>11.52</c:v>
                </c:pt>
                <c:pt idx="11">
                  <c:v>11.71</c:v>
                </c:pt>
              </c:numCache>
            </c:numRef>
          </c:val>
          <c:smooth val="0"/>
          <c:extLst>
            <c:ext xmlns:c16="http://schemas.microsoft.com/office/drawing/2014/chart" uri="{C3380CC4-5D6E-409C-BE32-E72D297353CC}">
              <c16:uniqueId val="{00000001-9B41-483C-A748-8C3C6D7CBD53}"/>
            </c:ext>
          </c:extLst>
        </c:ser>
        <c:ser>
          <c:idx val="5"/>
          <c:order val="2"/>
          <c:tx>
            <c:strRef>
              <c:f>'Dataark TCO'!$AB$5</c:f>
              <c:strCache>
                <c:ptCount val="1"/>
              </c:strCache>
            </c:strRef>
          </c:tx>
          <c:spPr>
            <a:ln w="2222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'Dataark TCO'!$W$2:$AH$2</c:f>
              <c:strCache>
                <c:ptCount val="12"/>
                <c:pt idx="0">
                  <c:v>Service og forsikring</c:v>
                </c:pt>
                <c:pt idx="1">
                  <c:v>Afgifter</c:v>
                </c:pt>
                <c:pt idx="2">
                  <c:v>I alt</c:v>
                </c:pt>
                <c:pt idx="6">
                  <c:v>2024</c:v>
                </c:pt>
                <c:pt idx="7">
                  <c:v>2025</c:v>
                </c:pt>
                <c:pt idx="8">
                  <c:v>2026</c:v>
                </c:pt>
                <c:pt idx="9">
                  <c:v>2027</c:v>
                </c:pt>
                <c:pt idx="10">
                  <c:v>2028</c:v>
                </c:pt>
                <c:pt idx="11">
                  <c:v>2029</c:v>
                </c:pt>
              </c:strCache>
            </c:strRef>
          </c:cat>
          <c:val>
            <c:numRef>
              <c:f>'Dataark TCO'!$W$5:$AH$5</c:f>
              <c:numCache>
                <c:formatCode>0.00</c:formatCode>
                <c:ptCount val="12"/>
                <c:pt idx="0">
                  <c:v>1.3414666666666666</c:v>
                </c:pt>
                <c:pt idx="1">
                  <c:v>0.27557030593946463</c:v>
                </c:pt>
                <c:pt idx="2" formatCode="General">
                  <c:v>1E-14</c:v>
                </c:pt>
                <c:pt idx="3" formatCode="0.0000">
                  <c:v>0</c:v>
                </c:pt>
              </c:numCache>
            </c:numRef>
          </c:val>
          <c:smooth val="0"/>
          <c:extLst>
            <c:ext xmlns:c16="http://schemas.microsoft.com/office/drawing/2014/chart" uri="{C3380CC4-5D6E-409C-BE32-E72D297353CC}">
              <c16:uniqueId val="{00000002-9B41-483C-A748-8C3C6D7CBD53}"/>
            </c:ext>
          </c:extLst>
        </c:ser>
        <c:dLbls>
          <c:dLblPos val="t"/>
          <c:showLegendKey val="0"/>
          <c:showVal val="1"/>
          <c:showCatName val="0"/>
          <c:showSerName val="0"/>
          <c:showPercent val="0"/>
          <c:showBubbleSize val="0"/>
        </c:dLbls>
        <c:smooth val="0"/>
        <c:axId val="30224352"/>
        <c:axId val="22905392"/>
      </c:lineChart>
      <c:catAx>
        <c:axId val="3022435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22905392"/>
        <c:crosses val="autoZero"/>
        <c:auto val="1"/>
        <c:lblAlgn val="ctr"/>
        <c:lblOffset val="100"/>
        <c:noMultiLvlLbl val="0"/>
      </c:catAx>
      <c:valAx>
        <c:axId val="22905392"/>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0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30224352"/>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2"/>
        <c:delete val="1"/>
      </c:legendEntry>
      <c:layout>
        <c:manualLayout>
          <c:xMode val="edge"/>
          <c:yMode val="edge"/>
          <c:x val="7.8662858594740523E-2"/>
          <c:y val="0.95648378353845132"/>
          <c:w val="0.90981942071364941"/>
          <c:h val="3.2102185831802722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cap="none" spc="0" normalizeH="0" baseline="0">
                <a:solidFill>
                  <a:sysClr val="windowText" lastClr="000000"/>
                </a:solidFill>
                <a:latin typeface="+mj-lt"/>
                <a:ea typeface="+mj-ea"/>
                <a:cs typeface="+mj-cs"/>
              </a:defRPr>
            </a:pPr>
            <a:r>
              <a:rPr lang="da-DK" u="sng">
                <a:solidFill>
                  <a:sysClr val="windowText" lastClr="000000"/>
                </a:solidFill>
              </a:rPr>
              <a:t>Gennemsnitlig</a:t>
            </a:r>
            <a:r>
              <a:rPr lang="da-DK" u="sng" baseline="0">
                <a:solidFill>
                  <a:sysClr val="windowText" lastClr="000000"/>
                </a:solidFill>
              </a:rPr>
              <a:t> pris pr km over hele perioden</a:t>
            </a:r>
            <a:endParaRPr lang="da-DK" u="sng">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sng" strike="noStrike" kern="1200" cap="none" spc="0" normalizeH="0" baseline="0">
              <a:solidFill>
                <a:sysClr val="windowText" lastClr="000000"/>
              </a:solidFill>
              <a:latin typeface="+mj-lt"/>
              <a:ea typeface="+mj-ea"/>
              <a:cs typeface="+mj-cs"/>
            </a:defRPr>
          </a:pPr>
          <a:endParaRPr lang="da-DK"/>
        </a:p>
      </c:txPr>
    </c:title>
    <c:autoTitleDeleted val="0"/>
    <c:plotArea>
      <c:layout/>
      <c:barChart>
        <c:barDir val="col"/>
        <c:grouping val="stacked"/>
        <c:varyColors val="0"/>
        <c:ser>
          <c:idx val="0"/>
          <c:order val="0"/>
          <c:tx>
            <c:strRef>
              <c:f>'Dashboard OLD'!$AC$21</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OLD'!$AC$22:$AC$23</c:f>
              <c:numCache>
                <c:formatCode>0.00</c:formatCode>
                <c:ptCount val="2"/>
                <c:pt idx="0">
                  <c:v>4.3118662292976424</c:v>
                </c:pt>
                <c:pt idx="1">
                  <c:v>1.6528820545640963</c:v>
                </c:pt>
              </c:numCache>
            </c:numRef>
          </c:val>
          <c:extLst>
            <c:ext xmlns:c16="http://schemas.microsoft.com/office/drawing/2014/chart" uri="{C3380CC4-5D6E-409C-BE32-E72D297353CC}">
              <c16:uniqueId val="{00000000-D5DC-4346-B988-92E4F5EF848E}"/>
            </c:ext>
          </c:extLst>
        </c:ser>
        <c:ser>
          <c:idx val="1"/>
          <c:order val="1"/>
          <c:tx>
            <c:strRef>
              <c:f>'Dashboard OLD'!$AD$21</c:f>
              <c:strCache>
                <c:ptCount val="1"/>
                <c:pt idx="0">
                  <c:v>Ladeinfrastruktur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OLD'!$AD$22:$AD$23</c:f>
              <c:numCache>
                <c:formatCode>0.00</c:formatCode>
                <c:ptCount val="2"/>
                <c:pt idx="0">
                  <c:v>0.34499999999999997</c:v>
                </c:pt>
                <c:pt idx="1">
                  <c:v>0</c:v>
                </c:pt>
              </c:numCache>
            </c:numRef>
          </c:val>
          <c:extLst>
            <c:ext xmlns:c16="http://schemas.microsoft.com/office/drawing/2014/chart" uri="{C3380CC4-5D6E-409C-BE32-E72D297353CC}">
              <c16:uniqueId val="{00000001-D5DC-4346-B988-92E4F5EF848E}"/>
            </c:ext>
          </c:extLst>
        </c:ser>
        <c:ser>
          <c:idx val="2"/>
          <c:order val="2"/>
          <c:tx>
            <c:strRef>
              <c:f>'Dashboard OLD'!$AE$21</c:f>
              <c:strCache>
                <c:ptCount val="1"/>
                <c:pt idx="0">
                  <c:v>Chaufførlønninger</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OLD'!$AE$22:$AE$23</c:f>
              <c:numCache>
                <c:formatCode>0.00</c:formatCode>
                <c:ptCount val="2"/>
                <c:pt idx="0">
                  <c:v>4</c:v>
                </c:pt>
                <c:pt idx="1">
                  <c:v>4</c:v>
                </c:pt>
              </c:numCache>
            </c:numRef>
          </c:val>
          <c:extLst>
            <c:ext xmlns:c16="http://schemas.microsoft.com/office/drawing/2014/chart" uri="{C3380CC4-5D6E-409C-BE32-E72D297353CC}">
              <c16:uniqueId val="{00000002-D5DC-4346-B988-92E4F5EF848E}"/>
            </c:ext>
          </c:extLst>
        </c:ser>
        <c:ser>
          <c:idx val="3"/>
          <c:order val="3"/>
          <c:tx>
            <c:strRef>
              <c:f>'Dashboard OLD'!$AA$24</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OLD'!$AA$25:$AA$26</c:f>
              <c:numCache>
                <c:formatCode>0.00</c:formatCode>
                <c:ptCount val="2"/>
                <c:pt idx="0">
                  <c:v>1.3952430555555555</c:v>
                </c:pt>
                <c:pt idx="1">
                  <c:v>3.3932000000000002</c:v>
                </c:pt>
              </c:numCache>
            </c:numRef>
          </c:val>
          <c:extLst>
            <c:ext xmlns:c16="http://schemas.microsoft.com/office/drawing/2014/chart" uri="{C3380CC4-5D6E-409C-BE32-E72D297353CC}">
              <c16:uniqueId val="{00000003-D5DC-4346-B988-92E4F5EF848E}"/>
            </c:ext>
          </c:extLst>
        </c:ser>
        <c:ser>
          <c:idx val="4"/>
          <c:order val="4"/>
          <c:tx>
            <c:strRef>
              <c:f>'Dashboard OLD'!$AB$24</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OLD'!$AB$25:$AB$26</c:f>
              <c:numCache>
                <c:formatCode>0.00</c:formatCode>
                <c:ptCount val="2"/>
                <c:pt idx="0">
                  <c:v>1.3414666666666666</c:v>
                </c:pt>
                <c:pt idx="1">
                  <c:v>0.88906666666666667</c:v>
                </c:pt>
              </c:numCache>
            </c:numRef>
          </c:val>
          <c:extLst>
            <c:ext xmlns:c16="http://schemas.microsoft.com/office/drawing/2014/chart" uri="{C3380CC4-5D6E-409C-BE32-E72D297353CC}">
              <c16:uniqueId val="{00000004-D5DC-4346-B988-92E4F5EF848E}"/>
            </c:ext>
          </c:extLst>
        </c:ser>
        <c:ser>
          <c:idx val="5"/>
          <c:order val="5"/>
          <c:tx>
            <c:strRef>
              <c:f>'Dashboard OLD'!$AC$24</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OLD'!$AC$25:$AC$26</c:f>
              <c:numCache>
                <c:formatCode>0.00</c:formatCode>
                <c:ptCount val="2"/>
                <c:pt idx="0">
                  <c:v>0.17710363927279796</c:v>
                </c:pt>
                <c:pt idx="1">
                  <c:v>0.15522723081846143</c:v>
                </c:pt>
              </c:numCache>
            </c:numRef>
          </c:val>
          <c:extLst>
            <c:ext xmlns:c16="http://schemas.microsoft.com/office/drawing/2014/chart" uri="{C3380CC4-5D6E-409C-BE32-E72D297353CC}">
              <c16:uniqueId val="{00000005-D5DC-4346-B988-92E4F5EF848E}"/>
            </c:ext>
          </c:extLst>
        </c:ser>
        <c:ser>
          <c:idx val="6"/>
          <c:order val="6"/>
          <c:tx>
            <c:strRef>
              <c:f>'Dashboard OLD'!$AD$24</c:f>
              <c:strCache>
                <c:ptCount val="1"/>
                <c:pt idx="0">
                  <c:v>I alt</c:v>
                </c:pt>
              </c:strCache>
            </c:strRef>
          </c:tx>
          <c:spPr>
            <a:solidFill>
              <a:schemeClr val="accent1">
                <a:lumMod val="60000"/>
              </a:schemeClr>
            </a:solidFill>
            <a:ln>
              <a:noFill/>
            </a:ln>
            <a:effectLst/>
          </c:spPr>
          <c:invertIfNegative val="0"/>
          <c:dLbls>
            <c:dLbl>
              <c:idx val="0"/>
              <c:tx>
                <c:rich>
                  <a:bodyPr/>
                  <a:lstStyle/>
                  <a:p>
                    <a:fld id="{96A38845-5CCC-4C01-9CDD-1C6ABB6D0F9E}"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5DC-4346-B988-92E4F5EF848E}"/>
                </c:ext>
              </c:extLst>
            </c:dLbl>
            <c:dLbl>
              <c:idx val="1"/>
              <c:tx>
                <c:rich>
                  <a:bodyPr/>
                  <a:lstStyle/>
                  <a:p>
                    <a:fld id="{6F37706E-8CCD-4E5F-949D-DADC95BE427F}"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5DC-4346-B988-92E4F5EF848E}"/>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ysClr val="windowText" lastClr="000000"/>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'Dashboard OLD'!$AB$22:$AB$23</c:f>
              <c:strCache>
                <c:ptCount val="2"/>
                <c:pt idx="0">
                  <c:v>El</c:v>
                </c:pt>
                <c:pt idx="1">
                  <c:v>Diesel</c:v>
                </c:pt>
              </c:strCache>
            </c:strRef>
          </c:cat>
          <c:val>
            <c:numRef>
              <c:f>'Dashboard OLD'!$AD$25:$AD$26</c:f>
              <c:numCache>
                <c:formatCode>General</c:formatCode>
                <c:ptCount val="2"/>
                <c:pt idx="0">
                  <c:v>1E-14</c:v>
                </c:pt>
                <c:pt idx="1">
                  <c:v>1E-14</c:v>
                </c:pt>
              </c:numCache>
            </c:numRef>
          </c:val>
          <c:extLst>
            <c:ext xmlns:c15="http://schemas.microsoft.com/office/drawing/2012/chart" uri="{02D57815-91ED-43cb-92C2-25804820EDAC}">
              <c15:datalabelsRange>
                <c15:f>'Dashboard OLD'!$AE$25:$AE$26</c15:f>
                <c15:dlblRangeCache>
                  <c:ptCount val="2"/>
                  <c:pt idx="0">
                    <c:v>Total 11,57</c:v>
                  </c:pt>
                  <c:pt idx="1">
                    <c:v>Total 10,09</c:v>
                  </c:pt>
                </c15:dlblRangeCache>
              </c15:datalabelsRange>
            </c:ext>
            <c:ext xmlns:c16="http://schemas.microsoft.com/office/drawing/2014/chart" uri="{C3380CC4-5D6E-409C-BE32-E72D297353CC}">
              <c16:uniqueId val="{00000008-D5DC-4346-B988-92E4F5EF848E}"/>
            </c:ext>
          </c:extLst>
        </c:ser>
        <c:dLbls>
          <c:dLblPos val="ctr"/>
          <c:showLegendKey val="0"/>
          <c:showVal val="1"/>
          <c:showCatName val="0"/>
          <c:showSerName val="0"/>
          <c:showPercent val="0"/>
          <c:showBubbleSize val="0"/>
        </c:dLbls>
        <c:gapWidth val="150"/>
        <c:overlap val="100"/>
        <c:axId val="425922416"/>
        <c:axId val="1294895696"/>
      </c:barChart>
      <c:catAx>
        <c:axId val="4259224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294895696"/>
        <c:crosses val="autoZero"/>
        <c:auto val="1"/>
        <c:lblAlgn val="ctr"/>
        <c:lblOffset val="100"/>
        <c:noMultiLvlLbl val="0"/>
      </c:catAx>
      <c:valAx>
        <c:axId val="129489569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425922416"/>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7.2482757453639121E-2"/>
          <c:y val="0.84404306737080281"/>
          <c:w val="0.90663137978244479"/>
          <c:h val="0.1385751835786934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Pris pr lademeter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'Dataark TCO'!$F$6</c:f>
              <c:strCache>
                <c:ptCount val="1"/>
                <c:pt idx="0">
                  <c:v>El</c:v>
                </c:pt>
              </c:strCache>
            </c:strRef>
          </c:tx>
          <c:spPr>
            <a:ln w="22225" cap="rnd">
              <a:solidFill>
                <a:schemeClr val="accent1"/>
              </a:solidFill>
              <a:round/>
            </a:ln>
            <a:effectLst/>
          </c:spPr>
          <c:marker>
            <c:symbol val="circle"/>
            <c:size val="5"/>
            <c:spPr>
              <a:solidFill>
                <a:schemeClr val="accent1"/>
              </a:solidFill>
              <a:ln w="1587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TCO'!$S$35:$Y$35</c:f>
              <c:numCache>
                <c:formatCode>General</c:formatCode>
                <c:ptCount val="7"/>
              </c:numCache>
            </c:numRef>
          </c:cat>
          <c:val>
            <c:numRef>
              <c:f>'Dataark TCO'!$S$36:$Y$36</c:f>
              <c:numCache>
                <c:formatCode>General</c:formatCode>
                <c:ptCount val="7"/>
              </c:numCache>
            </c:numRef>
          </c:val>
          <c:smooth val="0"/>
          <c:extLst>
            <c:ext xmlns:c16="http://schemas.microsoft.com/office/drawing/2014/chart" uri="{C3380CC4-5D6E-409C-BE32-E72D297353CC}">
              <c16:uniqueId val="{00000000-EDC8-460A-BAFD-C30874E0A6CF}"/>
            </c:ext>
          </c:extLst>
        </c:ser>
        <c:ser>
          <c:idx val="1"/>
          <c:order val="1"/>
          <c:tx>
            <c:strRef>
              <c:f>'Dataark TCO'!$F$7</c:f>
              <c:strCache>
                <c:ptCount val="1"/>
                <c:pt idx="0">
                  <c:v>Diesel</c:v>
                </c:pt>
              </c:strCache>
            </c:strRef>
          </c:tx>
          <c:spPr>
            <a:ln w="22225" cap="rnd">
              <a:solidFill>
                <a:schemeClr val="accent2"/>
              </a:solidFill>
              <a:round/>
            </a:ln>
            <a:effectLst/>
          </c:spPr>
          <c:marker>
            <c:symbol val="circle"/>
            <c:size val="5"/>
            <c:spPr>
              <a:solidFill>
                <a:schemeClr val="accent2"/>
              </a:solidFill>
              <a:ln w="15875">
                <a:no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TCO'!$S$35:$Y$35</c:f>
              <c:numCache>
                <c:formatCode>General</c:formatCode>
                <c:ptCount val="7"/>
              </c:numCache>
            </c:numRef>
          </c:cat>
          <c:val>
            <c:numRef>
              <c:f>'Dataark TCO'!$S$37:$Y$37</c:f>
              <c:numCache>
                <c:formatCode>General</c:formatCode>
                <c:ptCount val="7"/>
              </c:numCache>
            </c:numRef>
          </c:val>
          <c:smooth val="0"/>
          <c:extLst>
            <c:ext xmlns:c16="http://schemas.microsoft.com/office/drawing/2014/chart" uri="{C3380CC4-5D6E-409C-BE32-E72D297353CC}">
              <c16:uniqueId val="{00000001-EDC8-460A-BAFD-C30874E0A6CF}"/>
            </c:ext>
          </c:extLst>
        </c:ser>
        <c:dLbls>
          <c:showLegendKey val="0"/>
          <c:showVal val="0"/>
          <c:showCatName val="0"/>
          <c:showSerName val="0"/>
          <c:showPercent val="0"/>
          <c:showBubbleSize val="0"/>
        </c:dLbls>
        <c:marker val="1"/>
        <c:smooth val="0"/>
        <c:axId val="1667937343"/>
        <c:axId val="1667938783"/>
      </c:lineChart>
      <c:catAx>
        <c:axId val="1667937343"/>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667938783"/>
        <c:crosses val="autoZero"/>
        <c:auto val="1"/>
        <c:lblAlgn val="ctr"/>
        <c:lblOffset val="100"/>
        <c:noMultiLvlLbl val="0"/>
      </c:catAx>
      <c:valAx>
        <c:axId val="1667938783"/>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1667937343"/>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9946091699475063"/>
          <c:y val="0.94745493369873757"/>
          <c:w val="0.61930733267716531"/>
          <c:h val="3.876282499049531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da-DK" sz="1800" b="1" i="0" baseline="0">
                <a:effectLst>
                  <a:outerShdw blurRad="50800" dist="38100" dir="5400000" algn="t" rotWithShape="0">
                    <a:srgbClr val="000000">
                      <a:alpha val="40000"/>
                    </a:srgbClr>
                  </a:outerShdw>
                </a:effectLst>
              </a:rPr>
              <a:t>Lastbiltypers (12 T) CO2e-udledning pr km</a:t>
            </a:r>
            <a:endParaRPr lang="da-DK">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da-DK"/>
        </a:p>
      </c:txPr>
    </c:title>
    <c:autoTitleDeleted val="0"/>
    <c:plotArea>
      <c:layout/>
      <c:barChart>
        <c:barDir val="col"/>
        <c:grouping val="stacked"/>
        <c:varyColors val="0"/>
        <c:ser>
          <c:idx val="0"/>
          <c:order val="0"/>
          <c:tx>
            <c:strRef>
              <c:f>'[1]12 T'!$N$1</c:f>
              <c:strCache>
                <c:ptCount val="1"/>
                <c:pt idx="0">
                  <c:v>Karosserieproduktion</c:v>
                </c:pt>
              </c:strCache>
            </c:strRef>
          </c:tx>
          <c:spPr>
            <a:solidFill>
              <a:srgbClr val="A1CEB1"/>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T'!$N$2:$N$8</c:f>
              <c:numCache>
                <c:formatCode>General</c:formatCode>
                <c:ptCount val="7"/>
                <c:pt idx="0">
                  <c:v>38.28</c:v>
                </c:pt>
                <c:pt idx="1">
                  <c:v>38.28</c:v>
                </c:pt>
                <c:pt idx="2">
                  <c:v>38.28</c:v>
                </c:pt>
                <c:pt idx="3">
                  <c:v>38.28</c:v>
                </c:pt>
                <c:pt idx="4">
                  <c:v>38.28</c:v>
                </c:pt>
                <c:pt idx="5">
                  <c:v>38.28</c:v>
                </c:pt>
                <c:pt idx="6">
                  <c:v>38.28</c:v>
                </c:pt>
              </c:numCache>
            </c:numRef>
          </c:val>
          <c:extLst>
            <c:ext xmlns:c16="http://schemas.microsoft.com/office/drawing/2014/chart" uri="{C3380CC4-5D6E-409C-BE32-E72D297353CC}">
              <c16:uniqueId val="{00000000-4710-4B4B-B0BF-4DF39B7A4B31}"/>
            </c:ext>
          </c:extLst>
        </c:ser>
        <c:ser>
          <c:idx val="1"/>
          <c:order val="1"/>
          <c:tx>
            <c:strRef>
              <c:f>'[1]12 T'!$O$1</c:f>
              <c:strCache>
                <c:ptCount val="1"/>
                <c:pt idx="0">
                  <c:v>Batteriproduktion</c:v>
                </c:pt>
              </c:strCache>
            </c:strRef>
          </c:tx>
          <c:spPr>
            <a:solidFill>
              <a:srgbClr val="07467B"/>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T'!$O$2:$O$8</c:f>
              <c:numCache>
                <c:formatCode>General</c:formatCode>
                <c:ptCount val="7"/>
                <c:pt idx="0">
                  <c:v>25.416666666666668</c:v>
                </c:pt>
                <c:pt idx="1">
                  <c:v>6.2016666666666671</c:v>
                </c:pt>
                <c:pt idx="2">
                  <c:v>0</c:v>
                </c:pt>
                <c:pt idx="3">
                  <c:v>0</c:v>
                </c:pt>
                <c:pt idx="4">
                  <c:v>0</c:v>
                </c:pt>
                <c:pt idx="5">
                  <c:v>0</c:v>
                </c:pt>
                <c:pt idx="6">
                  <c:v>0</c:v>
                </c:pt>
              </c:numCache>
            </c:numRef>
          </c:val>
          <c:extLst>
            <c:ext xmlns:c16="http://schemas.microsoft.com/office/drawing/2014/chart" uri="{C3380CC4-5D6E-409C-BE32-E72D297353CC}">
              <c16:uniqueId val="{00000001-4710-4B4B-B0BF-4DF39B7A4B31}"/>
            </c:ext>
          </c:extLst>
        </c:ser>
        <c:ser>
          <c:idx val="2"/>
          <c:order val="2"/>
          <c:tx>
            <c:strRef>
              <c:f>'[1]12 T'!$P$1</c:f>
              <c:strCache>
                <c:ptCount val="1"/>
                <c:pt idx="0">
                  <c:v>Brinttankproduktion</c:v>
                </c:pt>
              </c:strCache>
            </c:strRef>
          </c:tx>
          <c:spPr>
            <a:solidFill>
              <a:srgbClr val="76B5E4"/>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T'!$P$2:$P$8</c:f>
              <c:numCache>
                <c:formatCode>General</c:formatCode>
                <c:ptCount val="7"/>
                <c:pt idx="0">
                  <c:v>0</c:v>
                </c:pt>
                <c:pt idx="1">
                  <c:v>23.333333333333332</c:v>
                </c:pt>
                <c:pt idx="2">
                  <c:v>0</c:v>
                </c:pt>
                <c:pt idx="3">
                  <c:v>0</c:v>
                </c:pt>
                <c:pt idx="4">
                  <c:v>0</c:v>
                </c:pt>
                <c:pt idx="5">
                  <c:v>0</c:v>
                </c:pt>
                <c:pt idx="6">
                  <c:v>0</c:v>
                </c:pt>
              </c:numCache>
            </c:numRef>
          </c:val>
          <c:extLst>
            <c:ext xmlns:c16="http://schemas.microsoft.com/office/drawing/2014/chart" uri="{C3380CC4-5D6E-409C-BE32-E72D297353CC}">
              <c16:uniqueId val="{00000002-4710-4B4B-B0BF-4DF39B7A4B31}"/>
            </c:ext>
          </c:extLst>
        </c:ser>
        <c:ser>
          <c:idx val="3"/>
          <c:order val="3"/>
          <c:tx>
            <c:strRef>
              <c:f>'[1]12 T'!$Q$1</c:f>
              <c:strCache>
                <c:ptCount val="1"/>
                <c:pt idx="0">
                  <c:v>El- &amp; brændstofproduktion</c:v>
                </c:pt>
              </c:strCache>
            </c:strRef>
          </c:tx>
          <c:spPr>
            <a:solidFill>
              <a:srgbClr val="FEE994"/>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T'!$Q$2:$Q$8</c:f>
              <c:numCache>
                <c:formatCode>General</c:formatCode>
                <c:ptCount val="7"/>
                <c:pt idx="0">
                  <c:v>60.610000000000007</c:v>
                </c:pt>
                <c:pt idx="1">
                  <c:v>150.03547228418043</c:v>
                </c:pt>
                <c:pt idx="2">
                  <c:v>-1256.7462600000001</c:v>
                </c:pt>
                <c:pt idx="3">
                  <c:v>-321.85690835294133</c:v>
                </c:pt>
                <c:pt idx="4">
                  <c:v>688.20500000000004</c:v>
                </c:pt>
                <c:pt idx="5">
                  <c:v>114.26799999999999</c:v>
                </c:pt>
                <c:pt idx="6">
                  <c:v>747.93599999999992</c:v>
                </c:pt>
              </c:numCache>
            </c:numRef>
          </c:val>
          <c:extLst>
            <c:ext xmlns:c16="http://schemas.microsoft.com/office/drawing/2014/chart" uri="{C3380CC4-5D6E-409C-BE32-E72D297353CC}">
              <c16:uniqueId val="{00000003-4710-4B4B-B0BF-4DF39B7A4B31}"/>
            </c:ext>
          </c:extLst>
        </c:ser>
        <c:ser>
          <c:idx val="4"/>
          <c:order val="4"/>
          <c:tx>
            <c:strRef>
              <c:f>'[1]12 T'!$R$1</c:f>
              <c:strCache>
                <c:ptCount val="1"/>
                <c:pt idx="0">
                  <c:v>Udstødning</c:v>
                </c:pt>
              </c:strCache>
            </c:strRef>
          </c:tx>
          <c:spPr>
            <a:solidFill>
              <a:srgbClr val="F4BEB0"/>
            </a:soli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T'!$R$2:$R$8</c:f>
              <c:numCache>
                <c:formatCode>General</c:formatCode>
                <c:ptCount val="7"/>
                <c:pt idx="0">
                  <c:v>0</c:v>
                </c:pt>
                <c:pt idx="1">
                  <c:v>0</c:v>
                </c:pt>
                <c:pt idx="2">
                  <c:v>49.285499999999999</c:v>
                </c:pt>
                <c:pt idx="3">
                  <c:v>49.285499999999999</c:v>
                </c:pt>
                <c:pt idx="4">
                  <c:v>0</c:v>
                </c:pt>
                <c:pt idx="5">
                  <c:v>0</c:v>
                </c:pt>
                <c:pt idx="6">
                  <c:v>628.47400000000005</c:v>
                </c:pt>
              </c:numCache>
            </c:numRef>
          </c:val>
          <c:extLst>
            <c:ext xmlns:c16="http://schemas.microsoft.com/office/drawing/2014/chart" uri="{C3380CC4-5D6E-409C-BE32-E72D297353CC}">
              <c16:uniqueId val="{00000004-4710-4B4B-B0BF-4DF39B7A4B31}"/>
            </c:ext>
          </c:extLst>
        </c:ser>
        <c:ser>
          <c:idx val="5"/>
          <c:order val="5"/>
          <c:tx>
            <c:strRef>
              <c:f>'[1]12 T'!$S$1</c:f>
              <c:strCache>
                <c:ptCount val="1"/>
                <c:pt idx="0">
                  <c:v>I alt</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tx>
                <c:rich>
                  <a:bodyPr/>
                  <a:lstStyle/>
                  <a:p>
                    <a:fld id="{332119B5-F7A0-4D87-B6F8-CD89ED67965E}"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710-4B4B-B0BF-4DF39B7A4B31}"/>
                </c:ext>
              </c:extLst>
            </c:dLbl>
            <c:dLbl>
              <c:idx val="1"/>
              <c:tx>
                <c:rich>
                  <a:bodyPr/>
                  <a:lstStyle/>
                  <a:p>
                    <a:fld id="{1EAD815E-B632-4443-9FB6-3354D64BC43A}"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710-4B4B-B0BF-4DF39B7A4B31}"/>
                </c:ext>
              </c:extLst>
            </c:dLbl>
            <c:dLbl>
              <c:idx val="2"/>
              <c:tx>
                <c:rich>
                  <a:bodyPr/>
                  <a:lstStyle/>
                  <a:p>
                    <a:fld id="{AA5190CE-5F16-465F-B8CA-E1412BD2FCF3}"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710-4B4B-B0BF-4DF39B7A4B31}"/>
                </c:ext>
              </c:extLst>
            </c:dLbl>
            <c:dLbl>
              <c:idx val="3"/>
              <c:tx>
                <c:rich>
                  <a:bodyPr/>
                  <a:lstStyle/>
                  <a:p>
                    <a:fld id="{6AE76FB6-A461-4D4E-8F79-382D42EB1A57}"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710-4B4B-B0BF-4DF39B7A4B31}"/>
                </c:ext>
              </c:extLst>
            </c:dLbl>
            <c:dLbl>
              <c:idx val="4"/>
              <c:tx>
                <c:rich>
                  <a:bodyPr/>
                  <a:lstStyle/>
                  <a:p>
                    <a:fld id="{3D7EA4E1-F7C0-4721-AEE1-BB0D9FE1147A}"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710-4B4B-B0BF-4DF39B7A4B31}"/>
                </c:ext>
              </c:extLst>
            </c:dLbl>
            <c:dLbl>
              <c:idx val="5"/>
              <c:tx>
                <c:rich>
                  <a:bodyPr/>
                  <a:lstStyle/>
                  <a:p>
                    <a:fld id="{D7A5407E-522E-4BED-849E-73B5F23FFA16}"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710-4B4B-B0BF-4DF39B7A4B31}"/>
                </c:ext>
              </c:extLst>
            </c:dLbl>
            <c:dLbl>
              <c:idx val="6"/>
              <c:tx>
                <c:rich>
                  <a:bodyPr/>
                  <a:lstStyle/>
                  <a:p>
                    <a:fld id="{CA33477B-2E62-4A7F-B465-49628C48C99B}"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710-4B4B-B0BF-4DF39B7A4B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lt1">
                          <a:lumMod val="95000"/>
                          <a:alpha val="54000"/>
                        </a:schemeClr>
                      </a:solidFill>
                    </a:ln>
                    <a:effectLst/>
                  </c:spPr>
                </c15:leaderLines>
              </c:ext>
            </c:extLst>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T'!$S$2:$S$8</c:f>
              <c:numCache>
                <c:formatCode>General</c:formatCode>
                <c:ptCount val="7"/>
                <c:pt idx="0">
                  <c:v>1E-14</c:v>
                </c:pt>
                <c:pt idx="1">
                  <c:v>1E-14</c:v>
                </c:pt>
                <c:pt idx="2">
                  <c:v>1E-14</c:v>
                </c:pt>
                <c:pt idx="3">
                  <c:v>1E-14</c:v>
                </c:pt>
                <c:pt idx="4">
                  <c:v>1E-14</c:v>
                </c:pt>
                <c:pt idx="5">
                  <c:v>1E-14</c:v>
                </c:pt>
                <c:pt idx="6">
                  <c:v>1E-14</c:v>
                </c:pt>
              </c:numCache>
            </c:numRef>
          </c:val>
          <c:extLst>
            <c:ext xmlns:c15="http://schemas.microsoft.com/office/drawing/2012/chart" uri="{02D57815-91ED-43cb-92C2-25804820EDAC}">
              <c15:datalabelsRange>
                <c15:f>'[1]12 T'!$T$2:$T$8</c15:f>
                <c15:dlblRangeCache>
                  <c:ptCount val="7"/>
                  <c:pt idx="0">
                    <c:v>Total 124,31</c:v>
                  </c:pt>
                  <c:pt idx="1">
                    <c:v>Total 217,85</c:v>
                  </c:pt>
                  <c:pt idx="2">
                    <c:v>Total -1169,18</c:v>
                  </c:pt>
                  <c:pt idx="3">
                    <c:v>Total -234,29</c:v>
                  </c:pt>
                  <c:pt idx="4">
                    <c:v>Total 726,49</c:v>
                  </c:pt>
                  <c:pt idx="5">
                    <c:v>Total 152,55</c:v>
                  </c:pt>
                  <c:pt idx="6">
                    <c:v>Total 1414,69</c:v>
                  </c:pt>
                </c15:dlblRangeCache>
              </c15:datalabelsRange>
            </c:ext>
            <c:ext xmlns:c16="http://schemas.microsoft.com/office/drawing/2014/chart" uri="{C3380CC4-5D6E-409C-BE32-E72D297353CC}">
              <c16:uniqueId val="{0000000C-4710-4B4B-B0BF-4DF39B7A4B31}"/>
            </c:ext>
          </c:extLst>
        </c:ser>
        <c:ser>
          <c:idx val="6"/>
          <c:order val="6"/>
          <c:tx>
            <c:strRef>
              <c:f>'[1]12 T'!$T$1</c:f>
              <c:strCache>
                <c:ptCount val="1"/>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'[1]12 T'!$M$2:$M$8</c:f>
              <c:strCache>
                <c:ptCount val="7"/>
                <c:pt idx="0">
                  <c:v>Ellastbil</c:v>
                </c:pt>
                <c:pt idx="1">
                  <c:v>Brintlastbil</c:v>
                </c:pt>
                <c:pt idx="2">
                  <c:v>Bio CNG</c:v>
                </c:pt>
                <c:pt idx="3">
                  <c:v>Bio LNG</c:v>
                </c:pt>
                <c:pt idx="4">
                  <c:v>1. generations biodiesel</c:v>
                </c:pt>
                <c:pt idx="5">
                  <c:v>2. generations biodiesel</c:v>
                </c:pt>
                <c:pt idx="6">
                  <c:v>Diesel</c:v>
                </c:pt>
              </c:strCache>
            </c:strRef>
          </c:cat>
          <c:val>
            <c:numRef>
              <c:f>'[1]12 T'!$T$2:$T$8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D-4710-4B4B-B0BF-4DF39B7A4B31}"/>
            </c:ext>
          </c:extLst>
        </c:ser>
        <c:dLbls>
          <c:dLblPos val="ctr"/>
          <c:showLegendKey val="0"/>
          <c:showVal val="1"/>
          <c:showCatName val="0"/>
          <c:showSerName val="0"/>
          <c:showPercent val="0"/>
          <c:showBubbleSize val="0"/>
        </c:dLbls>
        <c:gapWidth val="150"/>
        <c:overlap val="100"/>
        <c:axId val="708416216"/>
        <c:axId val="708410640"/>
      </c:barChart>
      <c:catAx>
        <c:axId val="708416216"/>
        <c:scaling>
          <c:orientation val="minMax"/>
        </c:scaling>
        <c:delete val="0"/>
        <c:axPos val="b"/>
        <c:numFmt formatCode="General" sourceLinked="1"/>
        <c:majorTickMark val="none"/>
        <c:minorTickMark val="none"/>
        <c:tickLblPos val="high"/>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1" i="0" u="none" strike="noStrike" kern="1200" baseline="0">
                <a:solidFill>
                  <a:schemeClr val="lt1">
                    <a:lumMod val="85000"/>
                  </a:schemeClr>
                </a:solidFill>
                <a:latin typeface="+mn-lt"/>
                <a:ea typeface="+mn-ea"/>
                <a:cs typeface="+mn-cs"/>
              </a:defRPr>
            </a:pPr>
            <a:endParaRPr lang="da-DK"/>
          </a:p>
        </c:txPr>
        <c:crossAx val="708410640"/>
        <c:crosses val="autoZero"/>
        <c:auto val="1"/>
        <c:lblAlgn val="ctr"/>
        <c:lblOffset val="100"/>
        <c:noMultiLvlLbl val="0"/>
      </c:catAx>
      <c:valAx>
        <c:axId val="70841064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da-DK"/>
                  <a:t>g CO2e/km</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a-DK"/>
          </a:p>
        </c:txPr>
        <c:crossAx val="708416216"/>
        <c:crosses val="autoZero"/>
        <c:crossBetween val="between"/>
      </c:valAx>
      <c:spPr>
        <a:noFill/>
        <a:ln>
          <a:noFill/>
        </a:ln>
        <a:effectLst/>
      </c:spPr>
    </c:plotArea>
    <c:legend>
      <c:legendPos val="b"/>
      <c:legendEntry>
        <c:idx val="0"/>
        <c:delete val="1"/>
      </c:legendEntry>
      <c:legendEntry>
        <c:idx val="1"/>
        <c:delete val="1"/>
      </c:legendEntry>
      <c:layout>
        <c:manualLayout>
          <c:xMode val="edge"/>
          <c:yMode val="edge"/>
          <c:x val="1.8080174963297873E-2"/>
          <c:y val="0.92215100556515595"/>
          <c:w val="0.96222213330742101"/>
          <c:h val="6.50831114436756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414C6A">
        <a:alpha val="75000"/>
      </a:srgbClr>
    </a:solidFill>
    <a:ln>
      <a:noFill/>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cap="none" spc="0" normalizeH="0" baseline="0">
                <a:solidFill>
                  <a:sysClr val="windowText" lastClr="000000"/>
                </a:solidFill>
                <a:latin typeface="+mj-lt"/>
                <a:ea typeface="+mj-ea"/>
                <a:cs typeface="+mj-cs"/>
              </a:defRPr>
            </a:pPr>
            <a:r>
              <a:rPr lang="da-DK" u="sng">
                <a:solidFill>
                  <a:sysClr val="windowText" lastClr="000000"/>
                </a:solidFill>
              </a:rPr>
              <a:t>Gennemsnitlig</a:t>
            </a:r>
            <a:r>
              <a:rPr lang="da-DK" u="sng" baseline="0">
                <a:solidFill>
                  <a:sysClr val="windowText" lastClr="000000"/>
                </a:solidFill>
              </a:rPr>
              <a:t> pris pr km over hele perioden</a:t>
            </a:r>
            <a:endParaRPr lang="da-DK" u="sng">
              <a:solidFill>
                <a:sysClr val="windowText" lastClr="000000"/>
              </a:solidFill>
            </a:endParaRPr>
          </a:p>
        </c:rich>
      </c:tx>
      <c:overlay val="0"/>
      <c:spPr>
        <a:noFill/>
        <a:ln>
          <a:noFill/>
        </a:ln>
        <a:effectLst/>
      </c:spPr>
      <c:txPr>
        <a:bodyPr rot="0" spcFirstLastPara="1" vertOverflow="ellipsis" vert="horz" wrap="square" anchor="ctr" anchorCtr="1"/>
        <a:lstStyle/>
        <a:p>
          <a:pPr>
            <a:defRPr sz="1600" b="1" i="0" u="sng" strike="noStrike" kern="1200" cap="none" spc="0" normalizeH="0" baseline="0">
              <a:solidFill>
                <a:sysClr val="windowText" lastClr="000000"/>
              </a:solidFill>
              <a:latin typeface="+mj-lt"/>
              <a:ea typeface="+mj-ea"/>
              <a:cs typeface="+mj-cs"/>
            </a:defRPr>
          </a:pPr>
          <a:endParaRPr lang="da-DK"/>
        </a:p>
      </c:txPr>
    </c:title>
    <c:autoTitleDeleted val="0"/>
    <c:plotArea>
      <c:layout/>
      <c:barChart>
        <c:barDir val="col"/>
        <c:grouping val="stacked"/>
        <c:varyColors val="0"/>
        <c:ser>
          <c:idx val="0"/>
          <c:order val="0"/>
          <c:tx>
            <c:strRef>
              <c:f>Dashboard!$AC$3</c:f>
              <c:strCache>
                <c:ptCount val="1"/>
                <c:pt idx="0">
                  <c:v>Køretøj</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Dashboard!$AC$4:$AC$5</c:f>
              <c:numCache>
                <c:formatCode>0.00</c:formatCode>
                <c:ptCount val="2"/>
                <c:pt idx="0">
                  <c:v>4.3118662292976424</c:v>
                </c:pt>
                <c:pt idx="1">
                  <c:v>1.6528820545640963</c:v>
                </c:pt>
              </c:numCache>
            </c:numRef>
          </c:val>
          <c:extLst>
            <c:ext xmlns:c16="http://schemas.microsoft.com/office/drawing/2014/chart" uri="{C3380CC4-5D6E-409C-BE32-E72D297353CC}">
              <c16:uniqueId val="{00000000-0630-4488-9837-31211ED3601D}"/>
            </c:ext>
          </c:extLst>
        </c:ser>
        <c:ser>
          <c:idx val="1"/>
          <c:order val="1"/>
          <c:tx>
            <c:strRef>
              <c:f>Dashboard!$AD$3</c:f>
              <c:strCache>
                <c:ptCount val="1"/>
                <c:pt idx="0">
                  <c:v>Ladeinfrastruktur</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BD54-4B33-8F4E-0E70B7571D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Dashboard!$AD$4:$AD$5</c:f>
              <c:numCache>
                <c:formatCode>0.00</c:formatCode>
                <c:ptCount val="2"/>
                <c:pt idx="0">
                  <c:v>0.34499999999999997</c:v>
                </c:pt>
                <c:pt idx="1">
                  <c:v>0</c:v>
                </c:pt>
              </c:numCache>
            </c:numRef>
          </c:val>
          <c:extLst>
            <c:ext xmlns:c16="http://schemas.microsoft.com/office/drawing/2014/chart" uri="{C3380CC4-5D6E-409C-BE32-E72D297353CC}">
              <c16:uniqueId val="{00000001-0630-4488-9837-31211ED3601D}"/>
            </c:ext>
          </c:extLst>
        </c:ser>
        <c:ser>
          <c:idx val="2"/>
          <c:order val="2"/>
          <c:tx>
            <c:strRef>
              <c:f>Dashboard!$AE$3</c:f>
              <c:strCache>
                <c:ptCount val="1"/>
                <c:pt idx="0">
                  <c:v>Chaufførlønninger</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Dashboard!$AE$4:$AE$5</c:f>
              <c:numCache>
                <c:formatCode>0.00</c:formatCode>
                <c:ptCount val="2"/>
                <c:pt idx="0">
                  <c:v>4</c:v>
                </c:pt>
                <c:pt idx="1">
                  <c:v>4</c:v>
                </c:pt>
              </c:numCache>
            </c:numRef>
          </c:val>
          <c:extLst>
            <c:ext xmlns:c16="http://schemas.microsoft.com/office/drawing/2014/chart" uri="{C3380CC4-5D6E-409C-BE32-E72D297353CC}">
              <c16:uniqueId val="{00000002-0630-4488-9837-31211ED3601D}"/>
            </c:ext>
          </c:extLst>
        </c:ser>
        <c:ser>
          <c:idx val="3"/>
          <c:order val="3"/>
          <c:tx>
            <c:strRef>
              <c:f>Dashboard!$AA$6</c:f>
              <c:strCache>
                <c:ptCount val="1"/>
                <c:pt idx="0">
                  <c:v>Drivmiddel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Dashboard!$AA$7:$AA$8</c:f>
              <c:numCache>
                <c:formatCode>0.00</c:formatCode>
                <c:ptCount val="2"/>
                <c:pt idx="0">
                  <c:v>1.3952430555555555</c:v>
                </c:pt>
                <c:pt idx="1">
                  <c:v>3.3932000000000002</c:v>
                </c:pt>
              </c:numCache>
            </c:numRef>
          </c:val>
          <c:extLst>
            <c:ext xmlns:c16="http://schemas.microsoft.com/office/drawing/2014/chart" uri="{C3380CC4-5D6E-409C-BE32-E72D297353CC}">
              <c16:uniqueId val="{00000003-0630-4488-9837-31211ED3601D}"/>
            </c:ext>
          </c:extLst>
        </c:ser>
        <c:ser>
          <c:idx val="4"/>
          <c:order val="4"/>
          <c:tx>
            <c:strRef>
              <c:f>Dashboard!$AB$6</c:f>
              <c:strCache>
                <c:ptCount val="1"/>
                <c:pt idx="0">
                  <c:v>Service og forsikring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Dashboard!$AB$7:$AB$8</c:f>
              <c:numCache>
                <c:formatCode>0.00</c:formatCode>
                <c:ptCount val="2"/>
                <c:pt idx="0">
                  <c:v>1.3414666666666666</c:v>
                </c:pt>
                <c:pt idx="1">
                  <c:v>0.88906666666666667</c:v>
                </c:pt>
              </c:numCache>
            </c:numRef>
          </c:val>
          <c:extLst>
            <c:ext xmlns:c16="http://schemas.microsoft.com/office/drawing/2014/chart" uri="{C3380CC4-5D6E-409C-BE32-E72D297353CC}">
              <c16:uniqueId val="{00000004-0630-4488-9837-31211ED3601D}"/>
            </c:ext>
          </c:extLst>
        </c:ser>
        <c:ser>
          <c:idx val="5"/>
          <c:order val="5"/>
          <c:tx>
            <c:strRef>
              <c:f>Dashboard!$AC$6</c:f>
              <c:strCache>
                <c:ptCount val="1"/>
                <c:pt idx="0">
                  <c:v>Afgifter</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Dashboard!$AC$7:$AC$8</c:f>
              <c:numCache>
                <c:formatCode>0.00</c:formatCode>
                <c:ptCount val="2"/>
                <c:pt idx="0">
                  <c:v>0.27557030593946463</c:v>
                </c:pt>
                <c:pt idx="1">
                  <c:v>1.0053938974851282</c:v>
                </c:pt>
              </c:numCache>
            </c:numRef>
          </c:val>
          <c:extLst>
            <c:ext xmlns:c16="http://schemas.microsoft.com/office/drawing/2014/chart" uri="{C3380CC4-5D6E-409C-BE32-E72D297353CC}">
              <c16:uniqueId val="{00000005-0630-4488-9837-31211ED3601D}"/>
            </c:ext>
          </c:extLst>
        </c:ser>
        <c:ser>
          <c:idx val="6"/>
          <c:order val="6"/>
          <c:tx>
            <c:strRef>
              <c:f>Dashboard!$AD$6</c:f>
              <c:strCache>
                <c:ptCount val="1"/>
                <c:pt idx="0">
                  <c:v>I alt</c:v>
                </c:pt>
              </c:strCache>
            </c:strRef>
          </c:tx>
          <c:spPr>
            <a:solidFill>
              <a:schemeClr val="accent1">
                <a:lumMod val="60000"/>
              </a:schemeClr>
            </a:solidFill>
            <a:ln>
              <a:noFill/>
            </a:ln>
            <a:effectLst/>
          </c:spPr>
          <c:invertIfNegative val="0"/>
          <c:dLbls>
            <c:dLbl>
              <c:idx val="0"/>
              <c:tx>
                <c:rich>
                  <a:bodyPr/>
                  <a:lstStyle/>
                  <a:p>
                    <a:fld id="{96A38845-5CCC-4C01-9CDD-1C6ABB6D0F9E}"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0630-4488-9837-31211ED3601D}"/>
                </c:ext>
              </c:extLst>
            </c:dLbl>
            <c:dLbl>
              <c:idx val="1"/>
              <c:tx>
                <c:rich>
                  <a:bodyPr/>
                  <a:lstStyle/>
                  <a:p>
                    <a:fld id="{6F37706E-8CCD-4E5F-949D-DADC95BE427F}" type="CELLRANGE">
                      <a:rPr lang="en-US"/>
                      <a:pPr/>
                      <a:t>[CELLRANGE]</a:t>
                    </a:fld>
                    <a:endParaRPr lang="da-DK"/>
                  </a:p>
                </c:rich>
              </c:tx>
              <c:dLblPos val="inBase"/>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0630-4488-9837-31211ED3601D}"/>
                </c:ext>
              </c:extLst>
            </c:dLbl>
            <c:spPr>
              <a:noFill/>
              <a:ln>
                <a:noFill/>
              </a:ln>
              <a:effectLst/>
            </c:spPr>
            <c:txPr>
              <a:bodyPr rot="0" spcFirstLastPara="1" vertOverflow="ellipsis" vert="horz" wrap="square" lIns="38100" tIns="19050" rIns="38100" bIns="19050" anchor="ctr" anchorCtr="1">
                <a:spAutoFit/>
              </a:bodyPr>
              <a:lstStyle/>
              <a:p>
                <a:pPr>
                  <a:defRPr sz="900" b="1" i="0" u="sng" strike="noStrike" kern="1200" baseline="0">
                    <a:solidFill>
                      <a:sysClr val="windowText" lastClr="000000"/>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dk1">
                          <a:lumMod val="35000"/>
                          <a:lumOff val="65000"/>
                        </a:schemeClr>
                      </a:solidFill>
                      <a:round/>
                    </a:ln>
                    <a:effectLst/>
                  </c:spPr>
                </c15:leaderLines>
              </c:ext>
            </c:extLst>
          </c:dLbls>
          <c:cat>
            <c:strRef>
              <c:f>Dashboard!$AB$4:$AB$5</c:f>
              <c:strCache>
                <c:ptCount val="2"/>
                <c:pt idx="0">
                  <c:v>El</c:v>
                </c:pt>
                <c:pt idx="1">
                  <c:v>Diesel</c:v>
                </c:pt>
              </c:strCache>
            </c:strRef>
          </c:cat>
          <c:val>
            <c:numRef>
              <c:f>Dashboard!$AD$7:$AD$8</c:f>
              <c:numCache>
                <c:formatCode>General</c:formatCode>
                <c:ptCount val="2"/>
                <c:pt idx="0">
                  <c:v>1E-14</c:v>
                </c:pt>
                <c:pt idx="1">
                  <c:v>1E-14</c:v>
                </c:pt>
              </c:numCache>
            </c:numRef>
          </c:val>
          <c:extLst>
            <c:ext xmlns:c15="http://schemas.microsoft.com/office/drawing/2012/chart" uri="{02D57815-91ED-43cb-92C2-25804820EDAC}">
              <c15:datalabelsRange>
                <c15:f>Dashboard!$AE$7:$AE$8</c15:f>
                <c15:dlblRangeCache>
                  <c:ptCount val="2"/>
                  <c:pt idx="0">
                    <c:v>Total 11,67</c:v>
                  </c:pt>
                  <c:pt idx="1">
                    <c:v>Total 10,94</c:v>
                  </c:pt>
                </c15:dlblRangeCache>
              </c15:datalabelsRange>
            </c:ext>
            <c:ext xmlns:c16="http://schemas.microsoft.com/office/drawing/2014/chart" uri="{C3380CC4-5D6E-409C-BE32-E72D297353CC}">
              <c16:uniqueId val="{00000006-0630-4488-9837-31211ED3601D}"/>
            </c:ext>
          </c:extLst>
        </c:ser>
        <c:dLbls>
          <c:dLblPos val="ctr"/>
          <c:showLegendKey val="0"/>
          <c:showVal val="1"/>
          <c:showCatName val="0"/>
          <c:showSerName val="0"/>
          <c:showPercent val="0"/>
          <c:showBubbleSize val="0"/>
        </c:dLbls>
        <c:gapWidth val="150"/>
        <c:overlap val="100"/>
        <c:axId val="425922416"/>
        <c:axId val="1294895696"/>
      </c:barChart>
      <c:catAx>
        <c:axId val="4259224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294895696"/>
        <c:crosses val="autoZero"/>
        <c:auto val="1"/>
        <c:lblAlgn val="ctr"/>
        <c:lblOffset val="100"/>
        <c:noMultiLvlLbl val="0"/>
      </c:catAx>
      <c:valAx>
        <c:axId val="1294895696"/>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da-DK">
                    <a:solidFill>
                      <a:sysClr val="windowText" lastClr="000000"/>
                    </a:solidFill>
                  </a:rPr>
                  <a:t>DKK/km</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title>
        <c:numFmt formatCode="0.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a-DK"/>
          </a:p>
        </c:txPr>
        <c:crossAx val="425922416"/>
        <c:crosses val="autoZero"/>
        <c:crossBetween val="between"/>
      </c:valAx>
      <c:spPr>
        <a:pattFill prst="ltDnDiag">
          <a:fgClr>
            <a:schemeClr val="dk1">
              <a:lumMod val="15000"/>
              <a:lumOff val="85000"/>
            </a:schemeClr>
          </a:fgClr>
          <a:bgClr>
            <a:schemeClr val="lt1"/>
          </a:bgClr>
        </a:pattFill>
        <a:ln>
          <a:noFill/>
        </a:ln>
        <a:effectLst/>
      </c:spPr>
    </c:plotArea>
    <c:legend>
      <c:legendPos val="b"/>
      <c:legendEntry>
        <c:idx val="6"/>
        <c:delete val="1"/>
      </c:legendEntry>
      <c:layout>
        <c:manualLayout>
          <c:xMode val="edge"/>
          <c:yMode val="edge"/>
          <c:x val="7.2482763700334032E-2"/>
          <c:y val="0.94117751301106556"/>
          <c:w val="0.90663137978244479"/>
          <c:h val="5.7989097516656575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Afgiftsomkostninger pr km</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'Dataark TCO'!$F$11</c:f>
              <c:strCache>
                <c:ptCount val="1"/>
                <c:pt idx="0">
                  <c:v>El</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TCO'!$G$10:$L$10</c:f>
              <c:numCache>
                <c:formatCode>General</c:formatCode>
                <c:ptCount val="6"/>
                <c:pt idx="0">
                  <c:v>2024</c:v>
                </c:pt>
                <c:pt idx="1">
                  <c:v>2025</c:v>
                </c:pt>
                <c:pt idx="2">
                  <c:v>2026</c:v>
                </c:pt>
                <c:pt idx="3">
                  <c:v>2027</c:v>
                </c:pt>
                <c:pt idx="4">
                  <c:v>2028</c:v>
                </c:pt>
                <c:pt idx="5">
                  <c:v>2029</c:v>
                </c:pt>
              </c:numCache>
            </c:numRef>
          </c:cat>
          <c:val>
            <c:numRef>
              <c:f>'Dataark TCO'!$G$11:$L$11</c:f>
              <c:numCache>
                <c:formatCode>_("kr."* #,##0.00_);_("kr."* \(#,##0.00\);_("kr."* "-"??_);_(@_)</c:formatCode>
                <c:ptCount val="6"/>
                <c:pt idx="0">
                  <c:v>0.17710363927279796</c:v>
                </c:pt>
                <c:pt idx="1">
                  <c:v>0.27557030593946463</c:v>
                </c:pt>
                <c:pt idx="2">
                  <c:v>0.27557030593946463</c:v>
                </c:pt>
                <c:pt idx="3">
                  <c:v>0.27557030593946463</c:v>
                </c:pt>
                <c:pt idx="4">
                  <c:v>0.36118409194769513</c:v>
                </c:pt>
                <c:pt idx="5">
                  <c:v>0.43607030593946461</c:v>
                </c:pt>
              </c:numCache>
            </c:numRef>
          </c:val>
          <c:smooth val="0"/>
          <c:extLst>
            <c:ext xmlns:c16="http://schemas.microsoft.com/office/drawing/2014/chart" uri="{C3380CC4-5D6E-409C-BE32-E72D297353CC}">
              <c16:uniqueId val="{00000000-04BE-4E92-BD13-B5BC0BD03EA9}"/>
            </c:ext>
          </c:extLst>
        </c:ser>
        <c:ser>
          <c:idx val="1"/>
          <c:order val="1"/>
          <c:tx>
            <c:strRef>
              <c:f>'Dataark TCO'!$F$12</c:f>
              <c:strCache>
                <c:ptCount val="1"/>
                <c:pt idx="0">
                  <c:v>Diesel</c:v>
                </c:pt>
              </c:strCache>
            </c:strRef>
          </c:tx>
          <c:spPr>
            <a:ln w="22225" cap="rnd">
              <a:solidFill>
                <a:schemeClr val="accent2"/>
              </a:solidFill>
              <a:round/>
            </a:ln>
            <a:effectLst/>
          </c:spPr>
          <c:marker>
            <c:symbol val="circle"/>
            <c:size val="6"/>
            <c:spPr>
              <a:solidFill>
                <a:schemeClr val="lt1"/>
              </a:solidFill>
              <a:ln w="1587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TCO'!$G$10:$L$10</c:f>
              <c:numCache>
                <c:formatCode>General</c:formatCode>
                <c:ptCount val="6"/>
                <c:pt idx="0">
                  <c:v>2024</c:v>
                </c:pt>
                <c:pt idx="1">
                  <c:v>2025</c:v>
                </c:pt>
                <c:pt idx="2">
                  <c:v>2026</c:v>
                </c:pt>
                <c:pt idx="3">
                  <c:v>2027</c:v>
                </c:pt>
                <c:pt idx="4">
                  <c:v>2028</c:v>
                </c:pt>
                <c:pt idx="5">
                  <c:v>2029</c:v>
                </c:pt>
              </c:numCache>
            </c:numRef>
          </c:cat>
          <c:val>
            <c:numRef>
              <c:f>'Dataark TCO'!$G$12:$L$12</c:f>
              <c:numCache>
                <c:formatCode>_("kr."* #,##0.00_);_("kr."* \(#,##0.00\);_("kr."* "-"??_);_(@_)</c:formatCode>
                <c:ptCount val="6"/>
                <c:pt idx="0">
                  <c:v>0.15522723081846143</c:v>
                </c:pt>
                <c:pt idx="1">
                  <c:v>1.0053938974851282</c:v>
                </c:pt>
                <c:pt idx="2">
                  <c:v>1.0053938974851282</c:v>
                </c:pt>
                <c:pt idx="3">
                  <c:v>1.0053938974851282</c:v>
                </c:pt>
                <c:pt idx="4">
                  <c:v>1.5852582096603602</c:v>
                </c:pt>
                <c:pt idx="5">
                  <c:v>1.7709938974851283</c:v>
                </c:pt>
              </c:numCache>
            </c:numRef>
          </c:val>
          <c:smooth val="0"/>
          <c:extLst>
            <c:ext xmlns:c16="http://schemas.microsoft.com/office/drawing/2014/chart" uri="{C3380CC4-5D6E-409C-BE32-E72D297353CC}">
              <c16:uniqueId val="{00000001-04BE-4E92-BD13-B5BC0BD03EA9}"/>
            </c:ext>
          </c:extLst>
        </c:ser>
        <c:dLbls>
          <c:dLblPos val="t"/>
          <c:showLegendKey val="0"/>
          <c:showVal val="1"/>
          <c:showCatName val="0"/>
          <c:showSerName val="0"/>
          <c:showPercent val="0"/>
          <c:showBubbleSize val="0"/>
        </c:dLbls>
        <c:marker val="1"/>
        <c:smooth val="0"/>
        <c:axId val="1667937343"/>
        <c:axId val="1667938783"/>
      </c:lineChart>
      <c:catAx>
        <c:axId val="1667937343"/>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667938783"/>
        <c:crosses val="autoZero"/>
        <c:auto val="1"/>
        <c:lblAlgn val="ctr"/>
        <c:lblOffset val="100"/>
        <c:noMultiLvlLbl val="0"/>
      </c:catAx>
      <c:valAx>
        <c:axId val="1667938783"/>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_(&quot;kr.&quot;* #,##0.00_);_(&quot;kr.&quot;* \(#,##0.00\);_(&quot;kr.&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1667937343"/>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9946091699475063"/>
          <c:y val="0.94745493369873757"/>
          <c:w val="0.68088181237787526"/>
          <c:h val="3.2477132621701738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da-DK">
                <a:solidFill>
                  <a:sysClr val="windowText" lastClr="000000"/>
                </a:solidFill>
              </a:rPr>
              <a:t>Procentdel af omkostninger som udgøres af afgifter</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da-DK"/>
        </a:p>
      </c:txPr>
    </c:title>
    <c:autoTitleDeleted val="0"/>
    <c:plotArea>
      <c:layout/>
      <c:lineChart>
        <c:grouping val="standard"/>
        <c:varyColors val="0"/>
        <c:ser>
          <c:idx val="0"/>
          <c:order val="0"/>
          <c:tx>
            <c:strRef>
              <c:f>'Dataark TCO'!$F$16</c:f>
              <c:strCache>
                <c:ptCount val="1"/>
                <c:pt idx="0">
                  <c:v>El</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TCO'!$G$15:$L$15</c:f>
              <c:numCache>
                <c:formatCode>General</c:formatCode>
                <c:ptCount val="6"/>
                <c:pt idx="0">
                  <c:v>2024</c:v>
                </c:pt>
                <c:pt idx="1">
                  <c:v>2025</c:v>
                </c:pt>
                <c:pt idx="2">
                  <c:v>2026</c:v>
                </c:pt>
                <c:pt idx="3">
                  <c:v>2027</c:v>
                </c:pt>
                <c:pt idx="4">
                  <c:v>2028</c:v>
                </c:pt>
                <c:pt idx="5">
                  <c:v>2029</c:v>
                </c:pt>
              </c:numCache>
            </c:numRef>
          </c:cat>
          <c:val>
            <c:numRef>
              <c:f>'Dataark TCO'!$G$16:$L$16</c:f>
              <c:numCache>
                <c:formatCode>0.0%</c:formatCode>
                <c:ptCount val="6"/>
                <c:pt idx="0">
                  <c:v>1.5306243499623628E-2</c:v>
                </c:pt>
                <c:pt idx="1">
                  <c:v>2.3615292829439891E-2</c:v>
                </c:pt>
                <c:pt idx="2">
                  <c:v>2.3615292829439891E-2</c:v>
                </c:pt>
                <c:pt idx="3">
                  <c:v>2.3615292829439891E-2</c:v>
                </c:pt>
                <c:pt idx="4">
                  <c:v>3.0726623989948222E-2</c:v>
                </c:pt>
                <c:pt idx="5">
                  <c:v>3.6862497529416414E-2</c:v>
                </c:pt>
              </c:numCache>
            </c:numRef>
          </c:val>
          <c:smooth val="0"/>
          <c:extLst>
            <c:ext xmlns:c16="http://schemas.microsoft.com/office/drawing/2014/chart" uri="{C3380CC4-5D6E-409C-BE32-E72D297353CC}">
              <c16:uniqueId val="{00000000-C18D-4FCA-A64D-1E9C405D6521}"/>
            </c:ext>
          </c:extLst>
        </c:ser>
        <c:ser>
          <c:idx val="1"/>
          <c:order val="1"/>
          <c:tx>
            <c:strRef>
              <c:f>'Dataark TCO'!$F$17</c:f>
              <c:strCache>
                <c:ptCount val="1"/>
                <c:pt idx="0">
                  <c:v>Diesel</c:v>
                </c:pt>
              </c:strCache>
            </c:strRef>
          </c:tx>
          <c:spPr>
            <a:ln w="22225" cap="rnd">
              <a:solidFill>
                <a:schemeClr val="accent2"/>
              </a:solidFill>
              <a:round/>
            </a:ln>
            <a:effectLst/>
          </c:spPr>
          <c:marker>
            <c:symbol val="circle"/>
            <c:size val="6"/>
            <c:spPr>
              <a:solidFill>
                <a:schemeClr val="lt1"/>
              </a:solidFill>
              <a:ln w="15875">
                <a:solidFill>
                  <a:schemeClr val="accent2"/>
                </a:solidFill>
                <a:round/>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da-D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'Dataark TCO'!$G$15:$L$15</c:f>
              <c:numCache>
                <c:formatCode>General</c:formatCode>
                <c:ptCount val="6"/>
                <c:pt idx="0">
                  <c:v>2024</c:v>
                </c:pt>
                <c:pt idx="1">
                  <c:v>2025</c:v>
                </c:pt>
                <c:pt idx="2">
                  <c:v>2026</c:v>
                </c:pt>
                <c:pt idx="3">
                  <c:v>2027</c:v>
                </c:pt>
                <c:pt idx="4">
                  <c:v>2028</c:v>
                </c:pt>
                <c:pt idx="5">
                  <c:v>2029</c:v>
                </c:pt>
              </c:numCache>
            </c:numRef>
          </c:cat>
          <c:val>
            <c:numRef>
              <c:f>'Dataark TCO'!$G$17:$L$17</c:f>
              <c:numCache>
                <c:formatCode>0.0%</c:formatCode>
                <c:ptCount val="6"/>
                <c:pt idx="0">
                  <c:v>1.5383691505264164E-2</c:v>
                </c:pt>
                <c:pt idx="1">
                  <c:v>9.1896163885437435E-2</c:v>
                </c:pt>
                <c:pt idx="2">
                  <c:v>9.1896163885437435E-2</c:v>
                </c:pt>
                <c:pt idx="3">
                  <c:v>9.1896163885437435E-2</c:v>
                </c:pt>
                <c:pt idx="4">
                  <c:v>0.13760435887117903</c:v>
                </c:pt>
                <c:pt idx="5">
                  <c:v>0.15128757227454639</c:v>
                </c:pt>
              </c:numCache>
            </c:numRef>
          </c:val>
          <c:smooth val="0"/>
          <c:extLst>
            <c:ext xmlns:c16="http://schemas.microsoft.com/office/drawing/2014/chart" uri="{C3380CC4-5D6E-409C-BE32-E72D297353CC}">
              <c16:uniqueId val="{00000001-C18D-4FCA-A64D-1E9C405D6521}"/>
            </c:ext>
          </c:extLst>
        </c:ser>
        <c:dLbls>
          <c:dLblPos val="t"/>
          <c:showLegendKey val="0"/>
          <c:showVal val="1"/>
          <c:showCatName val="0"/>
          <c:showSerName val="0"/>
          <c:showPercent val="0"/>
          <c:showBubbleSize val="0"/>
        </c:dLbls>
        <c:marker val="1"/>
        <c:smooth val="0"/>
        <c:axId val="1667937343"/>
        <c:axId val="1667938783"/>
      </c:lineChart>
      <c:catAx>
        <c:axId val="1667937343"/>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mn-lt"/>
                <a:ea typeface="+mn-ea"/>
                <a:cs typeface="+mn-cs"/>
              </a:defRPr>
            </a:pPr>
            <a:endParaRPr lang="da-DK"/>
          </a:p>
        </c:txPr>
        <c:crossAx val="1667938783"/>
        <c:crosses val="autoZero"/>
        <c:auto val="1"/>
        <c:lblAlgn val="ctr"/>
        <c:lblOffset val="100"/>
        <c:noMultiLvlLbl val="0"/>
      </c:catAx>
      <c:valAx>
        <c:axId val="1667938783"/>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crossAx val="1667937343"/>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19946091699475063"/>
          <c:y val="0.94745493369873757"/>
          <c:w val="0.68088181237787526"/>
          <c:h val="3.2477132621701738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da-DK"/>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6.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7.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8.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9.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0.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03">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27217</xdr:rowOff>
    </xdr:from>
    <xdr:to>
      <xdr:col>24</xdr:col>
      <xdr:colOff>23811</xdr:colOff>
      <xdr:row>7</xdr:row>
      <xdr:rowOff>104775</xdr:rowOff>
    </xdr:to>
    <xdr:sp macro="" textlink="">
      <xdr:nvSpPr>
        <xdr:cNvPr id="2" name="Rektangel: afrundede hjørner 9">
          <a:extLst>
            <a:ext uri="{FF2B5EF4-FFF2-40B4-BE49-F238E27FC236}">
              <a16:creationId xmlns:a16="http://schemas.microsoft.com/office/drawing/2014/main" id="{1F13D90C-BE2E-4913-8C76-8A022F69F676}"/>
            </a:ext>
          </a:extLst>
        </xdr:cNvPr>
        <xdr:cNvSpPr/>
      </xdr:nvSpPr>
      <xdr:spPr>
        <a:xfrm>
          <a:off x="152400" y="133897"/>
          <a:ext cx="14197011" cy="1174838"/>
        </a:xfrm>
        <a:prstGeom prst="roundRect">
          <a:avLst/>
        </a:prstGeom>
        <a:solidFill>
          <a:schemeClr val="bg1">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4000" b="1">
              <a:solidFill>
                <a:sysClr val="windowText" lastClr="000000"/>
              </a:solidFill>
            </a:rPr>
            <a:t>TCO- &amp; LCA-sammenligner</a:t>
          </a:r>
          <a:r>
            <a:rPr lang="da-DK" sz="4000" b="1" baseline="0">
              <a:solidFill>
                <a:sysClr val="windowText" lastClr="000000"/>
              </a:solidFill>
            </a:rPr>
            <a:t> for lastbiler med forskellige drivmidler</a:t>
          </a:r>
          <a:endParaRPr lang="da-DK" sz="4000" b="1">
            <a:solidFill>
              <a:sysClr val="windowText" lastClr="000000"/>
            </a:solidFill>
          </a:endParaRPr>
        </a:p>
      </xdr:txBody>
    </xdr:sp>
    <xdr:clientData/>
  </xdr:twoCellAnchor>
  <xdr:twoCellAnchor>
    <xdr:from>
      <xdr:col>1</xdr:col>
      <xdr:colOff>32657</xdr:colOff>
      <xdr:row>7</xdr:row>
      <xdr:rowOff>161926</xdr:rowOff>
    </xdr:from>
    <xdr:to>
      <xdr:col>24</xdr:col>
      <xdr:colOff>23812</xdr:colOff>
      <xdr:row>32</xdr:row>
      <xdr:rowOff>119743</xdr:rowOff>
    </xdr:to>
    <xdr:sp macro="" textlink="">
      <xdr:nvSpPr>
        <xdr:cNvPr id="3" name="Rektangel: afrundede hjørner 10">
          <a:extLst>
            <a:ext uri="{FF2B5EF4-FFF2-40B4-BE49-F238E27FC236}">
              <a16:creationId xmlns:a16="http://schemas.microsoft.com/office/drawing/2014/main" id="{82B22FC6-B112-490B-845E-343B83DE23EC}"/>
            </a:ext>
          </a:extLst>
        </xdr:cNvPr>
        <xdr:cNvSpPr/>
      </xdr:nvSpPr>
      <xdr:spPr>
        <a:xfrm>
          <a:off x="185057" y="1365886"/>
          <a:ext cx="14164355" cy="4575537"/>
        </a:xfrm>
        <a:prstGeom prst="roundRect">
          <a:avLst/>
        </a:prstGeom>
        <a:solidFill>
          <a:schemeClr val="bg1">
            <a:alpha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da-DK" sz="1100">
              <a:solidFill>
                <a:sysClr val="windowText" lastClr="000000"/>
              </a:solidFill>
              <a:effectLst/>
              <a:latin typeface="+mn-lt"/>
              <a:ea typeface="+mn-ea"/>
              <a:cs typeface="+mn-cs"/>
            </a:rPr>
            <a:t>Dette TCO- og LCA-værktøj til sammenligning af lastbiler med forskellige drivmidler er lavet af COWI i 2024. Data til værktøjet oprinder blandt andet fra gennemsnitsværdier fra lastbilproducenterne, Dansk Erhverv og en række virksomheder, herunder Region Hovedstadens driftsafdeling. Yderligere data og deres oprindelse kan findes i de to dataark.</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Du kan i arkene</a:t>
          </a:r>
          <a:r>
            <a:rPr lang="da-DK" sz="1100" baseline="0">
              <a:solidFill>
                <a:sysClr val="windowText" lastClr="000000"/>
              </a:solidFill>
              <a:effectLst/>
              <a:latin typeface="+mn-lt"/>
              <a:ea typeface="+mn-ea"/>
              <a:cs typeface="+mn-cs"/>
            </a:rPr>
            <a:t> 2024-2030</a:t>
          </a:r>
          <a:r>
            <a:rPr lang="da-DK" sz="1100">
              <a:solidFill>
                <a:sysClr val="windowText" lastClr="000000"/>
              </a:solidFill>
              <a:effectLst/>
              <a:latin typeface="+mn-lt"/>
              <a:ea typeface="+mn-ea"/>
              <a:cs typeface="+mn-cs"/>
            </a:rPr>
            <a:t> sammenligne de totaløkonomiske priser for lastbiler med hhv. elektrisk drivlinje</a:t>
          </a:r>
          <a:r>
            <a:rPr lang="da-DK" sz="1100" baseline="0">
              <a:solidFill>
                <a:sysClr val="windowText" lastClr="000000"/>
              </a:solidFill>
              <a:effectLst/>
              <a:latin typeface="+mn-lt"/>
              <a:ea typeface="+mn-ea"/>
              <a:cs typeface="+mn-cs"/>
            </a:rPr>
            <a:t> og</a:t>
          </a:r>
          <a:r>
            <a:rPr lang="da-DK" sz="1100">
              <a:solidFill>
                <a:sysClr val="windowText" lastClr="000000"/>
              </a:solidFill>
              <a:effectLst/>
              <a:latin typeface="+mn-lt"/>
              <a:ea typeface="+mn-ea"/>
              <a:cs typeface="+mn-cs"/>
            </a:rPr>
            <a:t> dieselmotor over deres leasingperiode. </a:t>
          </a:r>
        </a:p>
        <a:p>
          <a:r>
            <a:rPr lang="da-DK" sz="1100">
              <a:solidFill>
                <a:sysClr val="windowText" lastClr="000000"/>
              </a:solidFill>
              <a:effectLst/>
              <a:latin typeface="+mn-lt"/>
              <a:ea typeface="+mn-ea"/>
              <a:cs typeface="+mn-cs"/>
            </a:rPr>
            <a:t>Værktøjet viser som udgangspunkt de gennemsnitlige totale omkostninger for hele leasingperioden, baseret på de default-værdier, som anvendes i værktøjet. Dog anbefales det, at værktøjet tilpasses jeres virksomhed, for at kunne få noget konkret ud af værktøjet. For at få et hurtigt overblik over resultaterne, kan du tilpasse resultaterne til det år du regner med at indkøbe køretøjerne, ved at justere i celle V34 i dette ark.</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Sådan anvender du værktøjet:</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Felterne i arkene er inddelt i fire farver: sort, rød, gul og grøn. I de sorte felter skal der ikke indtastes nogen værdier. De røde felter indeholder låste værdier. I de gule felter skal der tages stilling til om denne værdi er repræsentativ for jeres virksomhed ift. default-værdien. I de grønne felter laves der beregninger pba. data indtastet i de gule og røde felter. Starte med at intaste værdierne i arket "Virksomhedssetup".</a:t>
          </a:r>
        </a:p>
        <a:p>
          <a:r>
            <a:rPr lang="da-DK" sz="1100">
              <a:solidFill>
                <a:sysClr val="windowText" lastClr="000000"/>
              </a:solidFill>
              <a:effectLst/>
              <a:latin typeface="+mn-lt"/>
              <a:ea typeface="+mn-ea"/>
              <a:cs typeface="+mn-cs"/>
            </a:rPr>
            <a:t>I afgiftsarket kan du beregne de lovpligtige afgifter for lastbiler i landene, Danmark, Tyskland, Sverige og Norge. </a:t>
          </a:r>
        </a:p>
        <a:p>
          <a:r>
            <a:rPr lang="da-DK" sz="1100">
              <a:solidFill>
                <a:sysClr val="windowText" lastClr="000000"/>
              </a:solidFill>
              <a:effectLst/>
              <a:latin typeface="+mn-lt"/>
              <a:ea typeface="+mn-ea"/>
              <a:cs typeface="+mn-cs"/>
            </a:rPr>
            <a:t>Når du har indtastet værdier i de to ark, kan du herefter sammenligne de totaløkonomiske omkostninger for de to drivmidler. </a:t>
          </a:r>
        </a:p>
        <a:p>
          <a:r>
            <a:rPr lang="da-DK" sz="1100">
              <a:solidFill>
                <a:sysClr val="windowText" lastClr="000000"/>
              </a:solidFill>
              <a:effectLst/>
              <a:latin typeface="+mn-lt"/>
              <a:ea typeface="+mn-ea"/>
              <a:cs typeface="+mn-cs"/>
            </a:rPr>
            <a:t> </a:t>
          </a:r>
        </a:p>
        <a:p>
          <a:r>
            <a:rPr lang="da-DK" sz="1100" b="1">
              <a:solidFill>
                <a:sysClr val="windowText" lastClr="000000"/>
              </a:solidFill>
              <a:effectLst/>
              <a:latin typeface="+mn-lt"/>
              <a:ea typeface="+mn-ea"/>
              <a:cs typeface="+mn-cs"/>
            </a:rPr>
            <a:t>Foretag en følsomhedsanalyse</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Få et hurtigt overblik over hvor følsom</a:t>
          </a:r>
          <a:r>
            <a:rPr lang="da-DK" sz="1100" baseline="0">
              <a:solidFill>
                <a:sysClr val="windowText" lastClr="000000"/>
              </a:solidFill>
              <a:effectLst/>
              <a:latin typeface="+mn-lt"/>
              <a:ea typeface="+mn-ea"/>
              <a:cs typeface="+mn-cs"/>
            </a:rPr>
            <a:t> beregningen er i Følsomhedsanalyse-arkent. </a:t>
          </a:r>
          <a:r>
            <a:rPr lang="da-DK" sz="1100">
              <a:solidFill>
                <a:sysClr val="windowText" lastClr="000000"/>
              </a:solidFill>
              <a:effectLst/>
              <a:latin typeface="+mn-lt"/>
              <a:ea typeface="+mn-ea"/>
              <a:cs typeface="+mn-cs"/>
            </a:rPr>
            <a:t>Opnår ellastbilen ikke prisparitet med diesel, kan du med fordel prøve at ændrer værdierne i felterne. Prøv evt. felterne ”mulighed for støtte (B35)”, ”antal årlige kørte km (D9)”, ”antal år som køretøjet bliver i flåden (D10)”, samt ”drivmiddelprisen (B61)”, for at se hvornår ellastbilen ville opnå prisparitet. Derudover kan du også ændre på værdierne for ellastbilens specifikationer i felterne B28:B31.</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LCA-værktøj</a:t>
          </a:r>
        </a:p>
        <a:p>
          <a:r>
            <a:rPr lang="da-DK" sz="1100">
              <a:solidFill>
                <a:sysClr val="windowText" lastClr="000000"/>
              </a:solidFill>
              <a:effectLst/>
              <a:latin typeface="+mn-lt"/>
              <a:ea typeface="+mn-ea"/>
              <a:cs typeface="+mn-cs"/>
            </a:rPr>
            <a:t>Du kan også lave en LCA-sammenligning i arket "LCA",</a:t>
          </a:r>
          <a:r>
            <a:rPr lang="da-DK" sz="1100" baseline="0">
              <a:solidFill>
                <a:sysClr val="windowText" lastClr="000000"/>
              </a:solidFill>
              <a:effectLst/>
              <a:latin typeface="+mn-lt"/>
              <a:ea typeface="+mn-ea"/>
              <a:cs typeface="+mn-cs"/>
            </a:rPr>
            <a:t> på tværs af ellastbiler og diesellastbiler. Du kan i celle AF38:AF40 i dette ark, se hvad det koster at reducere X antal kg CO2, såfremt ellastbilen ikke allerede giver et økonomisk overskud. Værktøjet tager udganspunkt i almindelig diesel. Kører du med 1. eller 2. generationsbiodiesel, skal du huske at ændrer dieselprisen i celle H17 i arket "Virksomhedssetup".</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 </a:t>
          </a:r>
        </a:p>
        <a:p>
          <a:r>
            <a:rPr lang="da-DK" sz="1100">
              <a:solidFill>
                <a:sysClr val="windowText" lastClr="000000"/>
              </a:solidFill>
              <a:effectLst/>
              <a:latin typeface="+mn-lt"/>
              <a:ea typeface="+mn-ea"/>
              <a:cs typeface="+mn-cs"/>
            </a:rPr>
            <a:t>Har du spørgsmål til værktøjet kan du kontakte </a:t>
          </a:r>
          <a:r>
            <a:rPr lang="da-DK" sz="1100" u="sng">
              <a:solidFill>
                <a:schemeClr val="accent5"/>
              </a:solidFill>
              <a:effectLst/>
              <a:latin typeface="+mn-lt"/>
              <a:ea typeface="+mn-ea"/>
              <a:cs typeface="+mn-cs"/>
            </a:rPr>
            <a:t>LKPD@COWI.com</a:t>
          </a:r>
          <a:r>
            <a:rPr lang="da-DK" sz="1100">
              <a:solidFill>
                <a:sysClr val="windowText" lastClr="000000"/>
              </a:solidFill>
              <a:effectLst/>
              <a:latin typeface="+mn-lt"/>
              <a:ea typeface="+mn-ea"/>
              <a:cs typeface="+mn-cs"/>
            </a:rPr>
            <a:t>.</a:t>
          </a:r>
          <a:endParaRPr lang="da-DK" sz="1050">
            <a:solidFill>
              <a:sysClr val="windowText" lastClr="000000"/>
            </a:solidFill>
          </a:endParaRPr>
        </a:p>
      </xdr:txBody>
    </xdr:sp>
    <xdr:clientData/>
  </xdr:twoCellAnchor>
  <xdr:twoCellAnchor>
    <xdr:from>
      <xdr:col>21</xdr:col>
      <xdr:colOff>0</xdr:colOff>
      <xdr:row>1</xdr:row>
      <xdr:rowOff>1</xdr:rowOff>
    </xdr:from>
    <xdr:to>
      <xdr:col>21</xdr:col>
      <xdr:colOff>0</xdr:colOff>
      <xdr:row>16</xdr:row>
      <xdr:rowOff>136072</xdr:rowOff>
    </xdr:to>
    <xdr:graphicFrame macro="">
      <xdr:nvGraphicFramePr>
        <xdr:cNvPr id="4" name="Diagram 11">
          <a:extLst>
            <a:ext uri="{FF2B5EF4-FFF2-40B4-BE49-F238E27FC236}">
              <a16:creationId xmlns:a16="http://schemas.microsoft.com/office/drawing/2014/main" id="{AEB31CFC-049D-4C51-A462-9F3B63700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xdr:colOff>
      <xdr:row>36</xdr:row>
      <xdr:rowOff>2</xdr:rowOff>
    </xdr:from>
    <xdr:to>
      <xdr:col>8</xdr:col>
      <xdr:colOff>228599</xdr:colOff>
      <xdr:row>71</xdr:row>
      <xdr:rowOff>13138</xdr:rowOff>
    </xdr:to>
    <xdr:graphicFrame macro="">
      <xdr:nvGraphicFramePr>
        <xdr:cNvPr id="5" name="Diagram 2">
          <a:extLst>
            <a:ext uri="{FF2B5EF4-FFF2-40B4-BE49-F238E27FC236}">
              <a16:creationId xmlns:a16="http://schemas.microsoft.com/office/drawing/2014/main" id="{3F6482C8-14FC-4440-B119-833EBD2C1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435430</xdr:colOff>
      <xdr:row>35</xdr:row>
      <xdr:rowOff>180955</xdr:rowOff>
    </xdr:from>
    <xdr:to>
      <xdr:col>15</xdr:col>
      <xdr:colOff>435430</xdr:colOff>
      <xdr:row>71</xdr:row>
      <xdr:rowOff>6569</xdr:rowOff>
    </xdr:to>
    <xdr:graphicFrame macro="">
      <xdr:nvGraphicFramePr>
        <xdr:cNvPr id="6" name="Chart 5">
          <a:extLst>
            <a:ext uri="{FF2B5EF4-FFF2-40B4-BE49-F238E27FC236}">
              <a16:creationId xmlns:a16="http://schemas.microsoft.com/office/drawing/2014/main" id="{9936B31C-1638-4E33-ABFE-573BA94FE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1</xdr:colOff>
      <xdr:row>15</xdr:row>
      <xdr:rowOff>1</xdr:rowOff>
    </xdr:from>
    <xdr:to>
      <xdr:col>33</xdr:col>
      <xdr:colOff>0</xdr:colOff>
      <xdr:row>35</xdr:row>
      <xdr:rowOff>1</xdr:rowOff>
    </xdr:to>
    <xdr:graphicFrame macro="">
      <xdr:nvGraphicFramePr>
        <xdr:cNvPr id="7" name="Chart 6">
          <a:extLst>
            <a:ext uri="{FF2B5EF4-FFF2-40B4-BE49-F238E27FC236}">
              <a16:creationId xmlns:a16="http://schemas.microsoft.com/office/drawing/2014/main" id="{1093DB9D-BD5C-4293-B270-6E6C18BB5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41</xdr:row>
      <xdr:rowOff>30480</xdr:rowOff>
    </xdr:from>
    <xdr:to>
      <xdr:col>24</xdr:col>
      <xdr:colOff>0</xdr:colOff>
      <xdr:row>71</xdr:row>
      <xdr:rowOff>7620</xdr:rowOff>
    </xdr:to>
    <xdr:graphicFrame macro="">
      <xdr:nvGraphicFramePr>
        <xdr:cNvPr id="9" name="Chart 8">
          <a:extLst>
            <a:ext uri="{FF2B5EF4-FFF2-40B4-BE49-F238E27FC236}">
              <a16:creationId xmlns:a16="http://schemas.microsoft.com/office/drawing/2014/main" id="{62CE64BC-DA8D-43AA-8B6A-9D0EB5C77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32385</xdr:colOff>
      <xdr:row>24</xdr:row>
      <xdr:rowOff>0</xdr:rowOff>
    </xdr:from>
    <xdr:to>
      <xdr:col>10</xdr:col>
      <xdr:colOff>0</xdr:colOff>
      <xdr:row>52</xdr:row>
      <xdr:rowOff>22860</xdr:rowOff>
    </xdr:to>
    <xdr:graphicFrame macro="">
      <xdr:nvGraphicFramePr>
        <xdr:cNvPr id="5" name="Chart 4">
          <a:extLst>
            <a:ext uri="{FF2B5EF4-FFF2-40B4-BE49-F238E27FC236}">
              <a16:creationId xmlns:a16="http://schemas.microsoft.com/office/drawing/2014/main" id="{D2AD454C-6D63-43F9-B35F-EC4ECA9B1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157775</xdr:colOff>
      <xdr:row>0</xdr:row>
      <xdr:rowOff>87476</xdr:rowOff>
    </xdr:from>
    <xdr:to>
      <xdr:col>23</xdr:col>
      <xdr:colOff>159336</xdr:colOff>
      <xdr:row>49</xdr:row>
      <xdr:rowOff>118456</xdr:rowOff>
    </xdr:to>
    <xdr:graphicFrame macro="">
      <xdr:nvGraphicFramePr>
        <xdr:cNvPr id="2" name="Chart 1">
          <a:extLst>
            <a:ext uri="{FF2B5EF4-FFF2-40B4-BE49-F238E27FC236}">
              <a16:creationId xmlns:a16="http://schemas.microsoft.com/office/drawing/2014/main" id="{F2608EAA-CB28-4701-A44C-6B7B1A24E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27217</xdr:rowOff>
    </xdr:from>
    <xdr:to>
      <xdr:col>22</xdr:col>
      <xdr:colOff>0</xdr:colOff>
      <xdr:row>7</xdr:row>
      <xdr:rowOff>104775</xdr:rowOff>
    </xdr:to>
    <xdr:sp macro="" textlink="">
      <xdr:nvSpPr>
        <xdr:cNvPr id="10" name="Rektangel: afrundede hjørner 9">
          <a:extLst>
            <a:ext uri="{FF2B5EF4-FFF2-40B4-BE49-F238E27FC236}">
              <a16:creationId xmlns:a16="http://schemas.microsoft.com/office/drawing/2014/main" id="{2A88E282-F588-41E2-883B-8BB65506E8DF}"/>
            </a:ext>
          </a:extLst>
        </xdr:cNvPr>
        <xdr:cNvSpPr/>
      </xdr:nvSpPr>
      <xdr:spPr>
        <a:xfrm>
          <a:off x="152400" y="136074"/>
          <a:ext cx="12703629" cy="1187901"/>
        </a:xfrm>
        <a:prstGeom prst="round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2800" b="1">
              <a:solidFill>
                <a:sysClr val="windowText" lastClr="000000"/>
              </a:solidFill>
            </a:rPr>
            <a:t>Værktøj til beregning af kommende afgiftsomkostninger</a:t>
          </a:r>
          <a:r>
            <a:rPr lang="da-DK" sz="2800" b="1" baseline="0">
              <a:solidFill>
                <a:sysClr val="windowText" lastClr="000000"/>
              </a:solidFill>
            </a:rPr>
            <a:t> for lastbiler med forskellige drivmidler</a:t>
          </a:r>
          <a:endParaRPr lang="da-DK" sz="2800" b="1">
            <a:solidFill>
              <a:sysClr val="windowText" lastClr="000000"/>
            </a:solidFill>
          </a:endParaRPr>
        </a:p>
      </xdr:txBody>
    </xdr:sp>
    <xdr:clientData/>
  </xdr:twoCellAnchor>
  <xdr:twoCellAnchor>
    <xdr:from>
      <xdr:col>1</xdr:col>
      <xdr:colOff>32657</xdr:colOff>
      <xdr:row>7</xdr:row>
      <xdr:rowOff>161926</xdr:rowOff>
    </xdr:from>
    <xdr:to>
      <xdr:col>21</xdr:col>
      <xdr:colOff>391886</xdr:colOff>
      <xdr:row>32</xdr:row>
      <xdr:rowOff>119743</xdr:rowOff>
    </xdr:to>
    <xdr:sp macro="" textlink="">
      <xdr:nvSpPr>
        <xdr:cNvPr id="11" name="Rektangel: afrundede hjørner 10">
          <a:extLst>
            <a:ext uri="{FF2B5EF4-FFF2-40B4-BE49-F238E27FC236}">
              <a16:creationId xmlns:a16="http://schemas.microsoft.com/office/drawing/2014/main" id="{8E125CA7-ADB2-4708-A1A0-3CF66DECF9DF}"/>
            </a:ext>
          </a:extLst>
        </xdr:cNvPr>
        <xdr:cNvSpPr/>
      </xdr:nvSpPr>
      <xdr:spPr>
        <a:xfrm>
          <a:off x="185057" y="1381126"/>
          <a:ext cx="12703629" cy="4584246"/>
        </a:xfrm>
        <a:prstGeom prst="roundRect">
          <a:avLst/>
        </a:prstGeom>
        <a:solidFill>
          <a:schemeClr val="bg1">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da-DK" sz="1100">
              <a:solidFill>
                <a:sysClr val="windowText" lastClr="000000"/>
              </a:solidFill>
              <a:effectLst/>
              <a:latin typeface="+mn-lt"/>
              <a:ea typeface="+mn-ea"/>
              <a:cs typeface="+mn-cs"/>
            </a:rPr>
            <a:t>Dette værktøj</a:t>
          </a:r>
          <a:r>
            <a:rPr lang="da-DK" sz="1100" baseline="0">
              <a:solidFill>
                <a:sysClr val="windowText" lastClr="000000"/>
              </a:solidFill>
              <a:effectLst/>
              <a:latin typeface="+mn-lt"/>
              <a:ea typeface="+mn-ea"/>
              <a:cs typeface="+mn-cs"/>
            </a:rPr>
            <a:t> er lavet af COWI til Dansk Erhverv for at fastsætte omkostninger til afgifter pr km, ud fra forskellige scenarier. Værktøjet baserer sig på et TCO-værktøj fra COWI, som er udviklet i 2024. </a:t>
          </a:r>
          <a:r>
            <a:rPr lang="da-DK" sz="1100">
              <a:solidFill>
                <a:sysClr val="windowText" lastClr="000000"/>
              </a:solidFill>
              <a:effectLst/>
              <a:latin typeface="+mn-lt"/>
              <a:ea typeface="+mn-ea"/>
              <a:cs typeface="+mn-cs"/>
            </a:rPr>
            <a:t>Data til værktøjet oprinder blandt andet fra gennemsnitsværdier fra lastbilproducenterne, Dansk Erhverv og en række virksomheder. Yderligere data og deres oprindelse kan findes i dataarket og forudsætningsnotatet.</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Hvad kan værktøjet</a:t>
          </a:r>
        </a:p>
        <a:p>
          <a:r>
            <a:rPr lang="da-DK" sz="1100">
              <a:solidFill>
                <a:sysClr val="windowText" lastClr="000000"/>
              </a:solidFill>
              <a:effectLst/>
              <a:latin typeface="+mn-lt"/>
              <a:ea typeface="+mn-ea"/>
              <a:cs typeface="+mn-cs"/>
            </a:rPr>
            <a:t>Værktøjet kan anvendes til at se, hvad omkostningerne</a:t>
          </a:r>
          <a:r>
            <a:rPr lang="da-DK" sz="1100" baseline="0">
              <a:solidFill>
                <a:sysClr val="windowText" lastClr="000000"/>
              </a:solidFill>
              <a:effectLst/>
              <a:latin typeface="+mn-lt"/>
              <a:ea typeface="+mn-ea"/>
              <a:cs typeface="+mn-cs"/>
            </a:rPr>
            <a:t> til afgifter for både el- og diesellastbiler er pr km.</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Værktøjet viser som udgangspunkt de gennemsnitlige totale omkostninger for hele leasingperioden, baseret på de default-værdier, som anvendes i værktøjet. Dog anbefales det, at værktøjet tilpasses jeres virksomhed, for at kunne få noget konkret ud af værktøjet. For at få et hurtigt overblik over resultaterne, kan du tilpasse resultaterne til det år du regner med at indkøbe køretøjerne, ved at justere i celle V34 i dette ark.</a:t>
          </a:r>
        </a:p>
        <a:p>
          <a:endParaRPr lang="da-DK" sz="1100">
            <a:solidFill>
              <a:sysClr val="windowText" lastClr="000000"/>
            </a:solidFill>
            <a:effectLst/>
            <a:latin typeface="+mn-lt"/>
            <a:ea typeface="+mn-ea"/>
            <a:cs typeface="+mn-cs"/>
          </a:endParaRPr>
        </a:p>
        <a:p>
          <a:r>
            <a:rPr lang="da-DK" sz="1100" b="1">
              <a:solidFill>
                <a:sysClr val="windowText" lastClr="000000"/>
              </a:solidFill>
              <a:effectLst/>
              <a:latin typeface="+mn-lt"/>
              <a:ea typeface="+mn-ea"/>
              <a:cs typeface="+mn-cs"/>
            </a:rPr>
            <a:t>Sådan anvender du værktøjet:</a:t>
          </a:r>
        </a:p>
        <a:p>
          <a:r>
            <a:rPr lang="da-DK" sz="1100">
              <a:solidFill>
                <a:sysClr val="windowText" lastClr="000000"/>
              </a:solidFill>
              <a:effectLst/>
              <a:latin typeface="+mn-lt"/>
              <a:ea typeface="+mn-ea"/>
              <a:cs typeface="+mn-cs"/>
            </a:rPr>
            <a:t>Felterne i arkene er inddelt i fire farver: sort, rød, gul og grøn. I de sorte felter skal der ikke indtastes nogen værdier i. De røde felter indeholder låste værdier. I de gule felter skal der tages stilling til om denne værdi er repræsentativ for jeres virksomhed ift. default-værdien. I de grønne felter laves der beregninger pba. data indtastet i de gule og røde felter. </a:t>
          </a:r>
        </a:p>
        <a:p>
          <a:r>
            <a:rPr lang="da-DK" sz="1100">
              <a:solidFill>
                <a:sysClr val="windowText" lastClr="000000"/>
              </a:solidFill>
              <a:effectLst/>
              <a:latin typeface="+mn-lt"/>
              <a:ea typeface="+mn-ea"/>
              <a:cs typeface="+mn-cs"/>
            </a:rPr>
            <a:t>1)</a:t>
          </a:r>
          <a:r>
            <a:rPr lang="da-DK" sz="1100" baseline="0">
              <a:solidFill>
                <a:sysClr val="windowText" lastClr="000000"/>
              </a:solidFill>
              <a:effectLst/>
              <a:latin typeface="+mn-lt"/>
              <a:ea typeface="+mn-ea"/>
              <a:cs typeface="+mn-cs"/>
            </a:rPr>
            <a:t> </a:t>
          </a:r>
          <a:r>
            <a:rPr lang="da-DK" sz="1100">
              <a:solidFill>
                <a:sysClr val="windowText" lastClr="000000"/>
              </a:solidFill>
              <a:effectLst/>
              <a:latin typeface="+mn-lt"/>
              <a:ea typeface="+mn-ea"/>
              <a:cs typeface="+mn-cs"/>
            </a:rPr>
            <a:t>Start med at udfylde</a:t>
          </a:r>
          <a:r>
            <a:rPr lang="da-DK" sz="1100" baseline="0">
              <a:solidFill>
                <a:sysClr val="windowText" lastClr="000000"/>
              </a:solidFill>
              <a:effectLst/>
              <a:latin typeface="+mn-lt"/>
              <a:ea typeface="+mn-ea"/>
              <a:cs typeface="+mn-cs"/>
            </a:rPr>
            <a:t> værdierne i de gule felter i dette ark.</a:t>
          </a:r>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2)</a:t>
          </a:r>
          <a:r>
            <a:rPr lang="da-DK" sz="1100" baseline="0">
              <a:solidFill>
                <a:sysClr val="windowText" lastClr="000000"/>
              </a:solidFill>
              <a:effectLst/>
              <a:latin typeface="+mn-lt"/>
              <a:ea typeface="+mn-ea"/>
              <a:cs typeface="+mn-cs"/>
            </a:rPr>
            <a:t> G</a:t>
          </a:r>
          <a:r>
            <a:rPr lang="da-DK" sz="1100">
              <a:solidFill>
                <a:sysClr val="windowText" lastClr="000000"/>
              </a:solidFill>
              <a:effectLst/>
              <a:latin typeface="+mn-lt"/>
              <a:ea typeface="+mn-ea"/>
              <a:cs typeface="+mn-cs"/>
            </a:rPr>
            <a:t>ennemgå værdierne i de gule felter i arket "Virksomhedssetup".</a:t>
          </a:r>
        </a:p>
        <a:p>
          <a:r>
            <a:rPr lang="da-DK" sz="1100">
              <a:solidFill>
                <a:sysClr val="windowText" lastClr="000000"/>
              </a:solidFill>
              <a:effectLst/>
              <a:latin typeface="+mn-lt"/>
              <a:ea typeface="+mn-ea"/>
              <a:cs typeface="+mn-cs"/>
            </a:rPr>
            <a:t>3) Gennemgå værdierne</a:t>
          </a:r>
          <a:r>
            <a:rPr lang="da-DK" sz="1100" baseline="0">
              <a:solidFill>
                <a:sysClr val="windowText" lastClr="000000"/>
              </a:solidFill>
              <a:effectLst/>
              <a:latin typeface="+mn-lt"/>
              <a:ea typeface="+mn-ea"/>
              <a:cs typeface="+mn-cs"/>
            </a:rPr>
            <a:t> i de gule felter i arket "Afgifter".</a:t>
          </a:r>
        </a:p>
        <a:p>
          <a:endParaRPr lang="da-DK" sz="1100">
            <a:solidFill>
              <a:sysClr val="windowText" lastClr="000000"/>
            </a:solidFill>
            <a:effectLst/>
            <a:latin typeface="+mn-lt"/>
            <a:ea typeface="+mn-ea"/>
            <a:cs typeface="+mn-cs"/>
          </a:endParaRPr>
        </a:p>
        <a:p>
          <a:r>
            <a:rPr lang="da-DK" sz="1100">
              <a:solidFill>
                <a:sysClr val="windowText" lastClr="000000"/>
              </a:solidFill>
              <a:effectLst/>
              <a:latin typeface="+mn-lt"/>
              <a:ea typeface="+mn-ea"/>
              <a:cs typeface="+mn-cs"/>
            </a:rPr>
            <a:t>Når du har fuldført</a:t>
          </a:r>
          <a:r>
            <a:rPr lang="da-DK" sz="1100" baseline="0">
              <a:solidFill>
                <a:sysClr val="windowText" lastClr="000000"/>
              </a:solidFill>
              <a:effectLst/>
              <a:latin typeface="+mn-lt"/>
              <a:ea typeface="+mn-ea"/>
              <a:cs typeface="+mn-cs"/>
            </a:rPr>
            <a:t> de tre trin</a:t>
          </a:r>
          <a:r>
            <a:rPr lang="da-DK" sz="1100">
              <a:solidFill>
                <a:sysClr val="windowText" lastClr="000000"/>
              </a:solidFill>
              <a:effectLst/>
              <a:latin typeface="+mn-lt"/>
              <a:ea typeface="+mn-ea"/>
              <a:cs typeface="+mn-cs"/>
            </a:rPr>
            <a:t>, kan du herefter se afgiftsomkostningerne</a:t>
          </a:r>
          <a:r>
            <a:rPr lang="da-DK" sz="1100" baseline="0">
              <a:solidFill>
                <a:sysClr val="windowText" lastClr="000000"/>
              </a:solidFill>
              <a:effectLst/>
              <a:latin typeface="+mn-lt"/>
              <a:ea typeface="+mn-ea"/>
              <a:cs typeface="+mn-cs"/>
            </a:rPr>
            <a:t> pr km for de tre forskellige afgiftsperioder i dette ark.</a:t>
          </a:r>
        </a:p>
        <a:p>
          <a:r>
            <a:rPr lang="da-DK" sz="1100">
              <a:solidFill>
                <a:sysClr val="windowText" lastClr="000000"/>
              </a:solidFill>
              <a:effectLst/>
              <a:latin typeface="+mn-lt"/>
              <a:ea typeface="+mn-ea"/>
              <a:cs typeface="+mn-cs"/>
            </a:rPr>
            <a:t> </a:t>
          </a:r>
        </a:p>
        <a:p>
          <a:r>
            <a:rPr lang="da-DK" sz="1100">
              <a:solidFill>
                <a:sysClr val="windowText" lastClr="000000"/>
              </a:solidFill>
              <a:effectLst/>
              <a:latin typeface="+mn-lt"/>
              <a:ea typeface="+mn-ea"/>
              <a:cs typeface="+mn-cs"/>
            </a:rPr>
            <a:t>Har du spørgsmål til værktøjet kan du kontakte Lucas Perkild på </a:t>
          </a:r>
          <a:r>
            <a:rPr lang="da-DK" sz="1100" u="sng">
              <a:solidFill>
                <a:schemeClr val="accent5"/>
              </a:solidFill>
              <a:effectLst/>
              <a:latin typeface="+mn-lt"/>
              <a:ea typeface="+mn-ea"/>
              <a:cs typeface="+mn-cs"/>
            </a:rPr>
            <a:t>LKPD@COWI.com</a:t>
          </a:r>
          <a:r>
            <a:rPr lang="da-DK" sz="1100">
              <a:solidFill>
                <a:sysClr val="windowText" lastClr="000000"/>
              </a:solidFill>
              <a:effectLst/>
              <a:latin typeface="+mn-lt"/>
              <a:ea typeface="+mn-ea"/>
              <a:cs typeface="+mn-cs"/>
            </a:rPr>
            <a:t>.</a:t>
          </a:r>
          <a:endParaRPr lang="da-DK" sz="1050">
            <a:solidFill>
              <a:sysClr val="windowText" lastClr="000000"/>
            </a:solidFill>
          </a:endParaRPr>
        </a:p>
      </xdr:txBody>
    </xdr:sp>
    <xdr:clientData/>
  </xdr:twoCellAnchor>
  <xdr:twoCellAnchor>
    <xdr:from>
      <xdr:col>21</xdr:col>
      <xdr:colOff>0</xdr:colOff>
      <xdr:row>1</xdr:row>
      <xdr:rowOff>1</xdr:rowOff>
    </xdr:from>
    <xdr:to>
      <xdr:col>21</xdr:col>
      <xdr:colOff>0</xdr:colOff>
      <xdr:row>16</xdr:row>
      <xdr:rowOff>136072</xdr:rowOff>
    </xdr:to>
    <xdr:graphicFrame macro="">
      <xdr:nvGraphicFramePr>
        <xdr:cNvPr id="12" name="Diagram 11">
          <a:extLst>
            <a:ext uri="{FF2B5EF4-FFF2-40B4-BE49-F238E27FC236}">
              <a16:creationId xmlns:a16="http://schemas.microsoft.com/office/drawing/2014/main" id="{B9A22AED-ED25-456E-82C1-D6FECFF9A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10885</xdr:colOff>
      <xdr:row>0</xdr:row>
      <xdr:rowOff>32657</xdr:rowOff>
    </xdr:from>
    <xdr:to>
      <xdr:col>33</xdr:col>
      <xdr:colOff>293915</xdr:colOff>
      <xdr:row>37</xdr:row>
      <xdr:rowOff>0</xdr:rowOff>
    </xdr:to>
    <xdr:graphicFrame macro="">
      <xdr:nvGraphicFramePr>
        <xdr:cNvPr id="8" name="Chart 7">
          <a:extLst>
            <a:ext uri="{FF2B5EF4-FFF2-40B4-BE49-F238E27FC236}">
              <a16:creationId xmlns:a16="http://schemas.microsoft.com/office/drawing/2014/main" id="{97A85537-AA32-6EE6-0A72-8F6E7BC61C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xdr:colOff>
      <xdr:row>37</xdr:row>
      <xdr:rowOff>174172</xdr:rowOff>
    </xdr:from>
    <xdr:to>
      <xdr:col>11</xdr:col>
      <xdr:colOff>21771</xdr:colOff>
      <xdr:row>74</xdr:row>
      <xdr:rowOff>4355</xdr:rowOff>
    </xdr:to>
    <xdr:graphicFrame macro="">
      <xdr:nvGraphicFramePr>
        <xdr:cNvPr id="4" name="Chart 3">
          <a:extLst>
            <a:ext uri="{FF2B5EF4-FFF2-40B4-BE49-F238E27FC236}">
              <a16:creationId xmlns:a16="http://schemas.microsoft.com/office/drawing/2014/main" id="{83FBD080-D3D2-43FB-9943-4AA20EEF2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10</xdr:colOff>
      <xdr:row>38</xdr:row>
      <xdr:rowOff>1</xdr:rowOff>
    </xdr:from>
    <xdr:to>
      <xdr:col>22</xdr:col>
      <xdr:colOff>21771</xdr:colOff>
      <xdr:row>74</xdr:row>
      <xdr:rowOff>15241</xdr:rowOff>
    </xdr:to>
    <xdr:graphicFrame macro="">
      <xdr:nvGraphicFramePr>
        <xdr:cNvPr id="5" name="Chart 4">
          <a:extLst>
            <a:ext uri="{FF2B5EF4-FFF2-40B4-BE49-F238E27FC236}">
              <a16:creationId xmlns:a16="http://schemas.microsoft.com/office/drawing/2014/main" id="{70003D36-BCCF-4B18-8B17-37CC02030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37</xdr:row>
      <xdr:rowOff>174180</xdr:rowOff>
    </xdr:from>
    <xdr:to>
      <xdr:col>33</xdr:col>
      <xdr:colOff>283029</xdr:colOff>
      <xdr:row>74</xdr:row>
      <xdr:rowOff>4363</xdr:rowOff>
    </xdr:to>
    <xdr:graphicFrame macro="">
      <xdr:nvGraphicFramePr>
        <xdr:cNvPr id="15" name="Chart 14">
          <a:extLst>
            <a:ext uri="{FF2B5EF4-FFF2-40B4-BE49-F238E27FC236}">
              <a16:creationId xmlns:a16="http://schemas.microsoft.com/office/drawing/2014/main" id="{A39C6EA1-D5C1-4873-AF1B-E44EF797D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836840</xdr:colOff>
      <xdr:row>57</xdr:row>
      <xdr:rowOff>163285</xdr:rowOff>
    </xdr:from>
    <xdr:to>
      <xdr:col>14</xdr:col>
      <xdr:colOff>21773</xdr:colOff>
      <xdr:row>78</xdr:row>
      <xdr:rowOff>141515</xdr:rowOff>
    </xdr:to>
    <xdr:graphicFrame macro="">
      <xdr:nvGraphicFramePr>
        <xdr:cNvPr id="2" name="Chart 1">
          <a:extLst>
            <a:ext uri="{FF2B5EF4-FFF2-40B4-BE49-F238E27FC236}">
              <a16:creationId xmlns:a16="http://schemas.microsoft.com/office/drawing/2014/main" id="{4CF7BEC3-8833-46E0-9F45-A2305CEDB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76</xdr:row>
      <xdr:rowOff>190499</xdr:rowOff>
    </xdr:from>
    <xdr:to>
      <xdr:col>9</xdr:col>
      <xdr:colOff>0</xdr:colOff>
      <xdr:row>120</xdr:row>
      <xdr:rowOff>21167</xdr:rowOff>
    </xdr:to>
    <xdr:graphicFrame macro="">
      <xdr:nvGraphicFramePr>
        <xdr:cNvPr id="2" name="Chart 1">
          <a:extLst>
            <a:ext uri="{FF2B5EF4-FFF2-40B4-BE49-F238E27FC236}">
              <a16:creationId xmlns:a16="http://schemas.microsoft.com/office/drawing/2014/main" id="{1AF05407-102F-4EB7-880C-7CB186DFB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809624</xdr:colOff>
      <xdr:row>25</xdr:row>
      <xdr:rowOff>9524</xdr:rowOff>
    </xdr:from>
    <xdr:to>
      <xdr:col>8</xdr:col>
      <xdr:colOff>1152524</xdr:colOff>
      <xdr:row>75</xdr:row>
      <xdr:rowOff>180974</xdr:rowOff>
    </xdr:to>
    <xdr:graphicFrame macro="">
      <xdr:nvGraphicFramePr>
        <xdr:cNvPr id="3" name="Chart 2">
          <a:extLst>
            <a:ext uri="{FF2B5EF4-FFF2-40B4-BE49-F238E27FC236}">
              <a16:creationId xmlns:a16="http://schemas.microsoft.com/office/drawing/2014/main" id="{211E887C-21DD-441D-98B5-0B7E5996C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821400</xdr:colOff>
      <xdr:row>23</xdr:row>
      <xdr:rowOff>167640</xdr:rowOff>
    </xdr:from>
    <xdr:to>
      <xdr:col>10</xdr:col>
      <xdr:colOff>1386</xdr:colOff>
      <xdr:row>84</xdr:row>
      <xdr:rowOff>38101</xdr:rowOff>
    </xdr:to>
    <xdr:graphicFrame macro="">
      <xdr:nvGraphicFramePr>
        <xdr:cNvPr id="2" name="Chart 1">
          <a:extLst>
            <a:ext uri="{FF2B5EF4-FFF2-40B4-BE49-F238E27FC236}">
              <a16:creationId xmlns:a16="http://schemas.microsoft.com/office/drawing/2014/main" id="{2B2B0802-BD00-311D-5141-5B0370409F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xdr:colOff>
      <xdr:row>23</xdr:row>
      <xdr:rowOff>0</xdr:rowOff>
    </xdr:from>
    <xdr:to>
      <xdr:col>10</xdr:col>
      <xdr:colOff>53340</xdr:colOff>
      <xdr:row>61</xdr:row>
      <xdr:rowOff>148590</xdr:rowOff>
    </xdr:to>
    <xdr:graphicFrame macro="">
      <xdr:nvGraphicFramePr>
        <xdr:cNvPr id="5" name="Chart 4">
          <a:extLst>
            <a:ext uri="{FF2B5EF4-FFF2-40B4-BE49-F238E27FC236}">
              <a16:creationId xmlns:a16="http://schemas.microsoft.com/office/drawing/2014/main" id="{F8BC86D8-2539-42FB-BC33-5D080D334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38101</xdr:colOff>
      <xdr:row>50</xdr:row>
      <xdr:rowOff>129540</xdr:rowOff>
    </xdr:from>
    <xdr:to>
      <xdr:col>10</xdr:col>
      <xdr:colOff>19051</xdr:colOff>
      <xdr:row>76</xdr:row>
      <xdr:rowOff>49530</xdr:rowOff>
    </xdr:to>
    <xdr:graphicFrame macro="">
      <xdr:nvGraphicFramePr>
        <xdr:cNvPr id="5" name="Chart 4">
          <a:extLst>
            <a:ext uri="{FF2B5EF4-FFF2-40B4-BE49-F238E27FC236}">
              <a16:creationId xmlns:a16="http://schemas.microsoft.com/office/drawing/2014/main" id="{CAE34227-55B4-4D88-8425-88F381614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826771</xdr:colOff>
      <xdr:row>23</xdr:row>
      <xdr:rowOff>167640</xdr:rowOff>
    </xdr:from>
    <xdr:to>
      <xdr:col>9</xdr:col>
      <xdr:colOff>1180931</xdr:colOff>
      <xdr:row>52</xdr:row>
      <xdr:rowOff>53340</xdr:rowOff>
    </xdr:to>
    <xdr:graphicFrame macro="">
      <xdr:nvGraphicFramePr>
        <xdr:cNvPr id="4" name="Chart 3">
          <a:extLst>
            <a:ext uri="{FF2B5EF4-FFF2-40B4-BE49-F238E27FC236}">
              <a16:creationId xmlns:a16="http://schemas.microsoft.com/office/drawing/2014/main" id="{EFDC80EA-24AD-42E5-9E76-6EA92DCED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17325</xdr:colOff>
      <xdr:row>24</xdr:row>
      <xdr:rowOff>45719</xdr:rowOff>
    </xdr:from>
    <xdr:to>
      <xdr:col>10</xdr:col>
      <xdr:colOff>7620</xdr:colOff>
      <xdr:row>53</xdr:row>
      <xdr:rowOff>15240</xdr:rowOff>
    </xdr:to>
    <xdr:graphicFrame macro="">
      <xdr:nvGraphicFramePr>
        <xdr:cNvPr id="3" name="Chart 2">
          <a:extLst>
            <a:ext uri="{FF2B5EF4-FFF2-40B4-BE49-F238E27FC236}">
              <a16:creationId xmlns:a16="http://schemas.microsoft.com/office/drawing/2014/main" id="{C8EAC6A1-8E04-40D1-BAC9-841A9C257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B/CRU/Mobilitet/Gr&#248;n%20Mobilitet/CPH-Electric/Tung%20transport/Drivlinjer%20for%20lastbiler/LCA/COWI%20feedback/Sammenligning%20af%20lastbiler%20og%20bussers%20CO2-udledning%20-%20Masterf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2 T"/>
      <sheetName val="40 T"/>
      <sheetName val="CEJ case"/>
      <sheetName val="Busser"/>
      <sheetName val="Biogas udledning"/>
      <sheetName val="Elmiks udledning"/>
      <sheetName val="WTT brint"/>
      <sheetName val="Datagrundlag"/>
      <sheetName val="40 T (2)"/>
    </sheetNames>
    <sheetDataSet>
      <sheetData sheetId="0"/>
      <sheetData sheetId="1">
        <row r="1">
          <cell r="N1" t="str">
            <v>Karosserieproduktion</v>
          </cell>
          <cell r="O1" t="str">
            <v>Batteriproduktion</v>
          </cell>
          <cell r="P1" t="str">
            <v>Brinttankproduktion</v>
          </cell>
          <cell r="Q1" t="str">
            <v>El- &amp; brændstofproduktion</v>
          </cell>
          <cell r="R1" t="str">
            <v>Udstødning</v>
          </cell>
          <cell r="S1" t="str">
            <v>I alt</v>
          </cell>
          <cell r="T1"/>
        </row>
        <row r="2">
          <cell r="M2" t="str">
            <v>Ellastbil</v>
          </cell>
          <cell r="N2">
            <v>38.28</v>
          </cell>
          <cell r="O2">
            <v>25.416666666666668</v>
          </cell>
          <cell r="P2">
            <v>0</v>
          </cell>
          <cell r="Q2">
            <v>60.610000000000007</v>
          </cell>
          <cell r="R2">
            <v>0</v>
          </cell>
          <cell r="S2">
            <v>1E-14</v>
          </cell>
          <cell r="T2" t="str">
            <v>Total 124,31</v>
          </cell>
        </row>
        <row r="3">
          <cell r="M3" t="str">
            <v>Brintlastbil</v>
          </cell>
          <cell r="N3">
            <v>38.28</v>
          </cell>
          <cell r="O3">
            <v>6.2016666666666671</v>
          </cell>
          <cell r="P3">
            <v>23.333333333333332</v>
          </cell>
          <cell r="Q3">
            <v>150.03547228418043</v>
          </cell>
          <cell r="R3">
            <v>0</v>
          </cell>
          <cell r="S3">
            <v>1E-14</v>
          </cell>
          <cell r="T3" t="str">
            <v>Total 217,85</v>
          </cell>
        </row>
        <row r="4">
          <cell r="M4" t="str">
            <v>Bio CNG</v>
          </cell>
          <cell r="N4">
            <v>38.28</v>
          </cell>
          <cell r="O4">
            <v>0</v>
          </cell>
          <cell r="P4">
            <v>0</v>
          </cell>
          <cell r="Q4">
            <v>-1256.7462600000001</v>
          </cell>
          <cell r="R4">
            <v>49.285499999999999</v>
          </cell>
          <cell r="S4">
            <v>1E-14</v>
          </cell>
          <cell r="T4" t="str">
            <v>Total -1169,18</v>
          </cell>
        </row>
        <row r="5">
          <cell r="M5" t="str">
            <v>Bio LNG</v>
          </cell>
          <cell r="N5">
            <v>38.28</v>
          </cell>
          <cell r="O5">
            <v>0</v>
          </cell>
          <cell r="P5">
            <v>0</v>
          </cell>
          <cell r="Q5">
            <v>-321.85690835294133</v>
          </cell>
          <cell r="R5">
            <v>49.285499999999999</v>
          </cell>
          <cell r="S5">
            <v>1E-14</v>
          </cell>
          <cell r="T5" t="str">
            <v>Total -234,29</v>
          </cell>
        </row>
        <row r="6">
          <cell r="M6" t="str">
            <v>1. generations biodiesel</v>
          </cell>
          <cell r="N6">
            <v>38.28</v>
          </cell>
          <cell r="O6">
            <v>0</v>
          </cell>
          <cell r="P6">
            <v>0</v>
          </cell>
          <cell r="Q6">
            <v>688.20500000000004</v>
          </cell>
          <cell r="R6">
            <v>0</v>
          </cell>
          <cell r="S6">
            <v>1E-14</v>
          </cell>
          <cell r="T6" t="str">
            <v>Total 726,49</v>
          </cell>
        </row>
        <row r="7">
          <cell r="M7" t="str">
            <v>2. generations biodiesel</v>
          </cell>
          <cell r="N7">
            <v>38.28</v>
          </cell>
          <cell r="O7">
            <v>0</v>
          </cell>
          <cell r="P7">
            <v>0</v>
          </cell>
          <cell r="Q7">
            <v>114.26799999999999</v>
          </cell>
          <cell r="R7">
            <v>0</v>
          </cell>
          <cell r="S7">
            <v>1E-14</v>
          </cell>
          <cell r="T7" t="str">
            <v>Total 152,55</v>
          </cell>
        </row>
        <row r="8">
          <cell r="M8" t="str">
            <v>Diesel</v>
          </cell>
          <cell r="N8">
            <v>38.28</v>
          </cell>
          <cell r="O8">
            <v>0</v>
          </cell>
          <cell r="P8">
            <v>0</v>
          </cell>
          <cell r="Q8">
            <v>747.93599999999992</v>
          </cell>
          <cell r="R8">
            <v>628.47400000000005</v>
          </cell>
          <cell r="S8">
            <v>1E-14</v>
          </cell>
          <cell r="T8" t="str">
            <v>Total 1414,69</v>
          </cell>
        </row>
      </sheetData>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Lucas Klosterskov Perkild" id="{013BB583-5E3D-4F5A-8FC7-4719B7AD7A80}" userId="S::lkpd@cowi.com::1e8149db-6573-46ed-ab5c-7cc57468ccd9" providerId="AD"/>
  <person displayName="Lucas Perkild" id="{3AE80E36-6233-419A-9757-447190BE1972}" userId="S::lucas.perkild@regionh.dk::e517f5f3-30ff-4d23-9ca7-639cb7fdc3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0" dT="2023-12-08T10:22:32.89" personId="{3AE80E36-6233-419A-9757-447190BE1972}" id="{33263206-40C7-4C30-913A-04FA5125E656}">
    <text>Der er i skrivende stund (december 2023) fremsat et lovforslag om at øge dieselpriserne med 1,17 kroner inklusiv moms per liter fra 2030. Du kan vælge at indregne dette ved ønske: https://www.ft.dk/ripdf/samling/20231/lovforslag/l81/20231_l81_som_fremsat.pdf</text>
  </threadedComment>
</ThreadedComments>
</file>

<file path=xl/threadedComments/threadedComment2.xml><?xml version="1.0" encoding="utf-8"?>
<ThreadedComments xmlns="http://schemas.microsoft.com/office/spreadsheetml/2018/threadedcomments" xmlns:x="http://schemas.openxmlformats.org/spreadsheetml/2006/main">
  <threadedComment ref="C5" dT="2024-05-01T08:15:58.45" personId="{013BB583-5E3D-4F5A-8FC7-4719B7AD7A80}" id="{4E08C717-6F92-493F-A499-DE8E8A57B3A3}">
    <text xml:space="preserve">Der er til dette lagt 50 øre, som følge med forhøjet dieselafgift, som følge af aftale: Aftale om deludmøntning af Grøn Fond (fm.dk) </text>
    <extLst>
      <x:ext xmlns:xltc2="http://schemas.microsoft.com/office/spreadsheetml/2020/threadedcomments2" uri="{F7C98A9C-CBB3-438F-8F68-D28B6AF4A901}">
        <xltc2:checksum>1109611297</xltc2:checksum>
        <xltc2:hyperlink startIndex="88" length="44" url="https://fm.dk/media/27478/aftale-om-deludmoentning-af-groen-fond.pdf"/>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lucas.perkild@regionh.dk"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mailto:lucas.perkild@regionh.dk"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lucas.perkild@regionh.dk"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findenergi.dk/stroempriser/" TargetMode="External"/><Relationship Id="rId7" Type="http://schemas.microsoft.com/office/2017/10/relationships/threadedComment" Target="../threadedComments/threadedComment2.xml"/><Relationship Id="rId2" Type="http://schemas.openxmlformats.org/officeDocument/2006/relationships/hyperlink" Target="https://www.ok.dk/erhverv/produkter/braendstof/prisudvikling" TargetMode="External"/><Relationship Id="rId1" Type="http://schemas.openxmlformats.org/officeDocument/2006/relationships/hyperlink" Target="https://www.ok.dk/erhverv/produkter/braendstof/prisudviklin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mps-solutions.dk/viden-om-energi/el/elpriser-time-for-time/" TargetMode="External"/><Relationship Id="rId1" Type="http://schemas.openxmlformats.org/officeDocument/2006/relationships/hyperlink" Target="https://radiuselnet.dk/elnetkunder/elprisen/" TargetMode="External"/></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km.dk/media/em0poogx/provenuberegning-for-kilometerbaseret-vejafgift-for-lastbiler.pdf" TargetMode="External"/><Relationship Id="rId2" Type="http://schemas.openxmlformats.org/officeDocument/2006/relationships/hyperlink" Target="https://skm.dk/tal-og-metode/satser/satser-og-beloebsgraenser-i-lovgivningen/vejbenyttelsesafgiftsloven" TargetMode="External"/><Relationship Id="rId1" Type="http://schemas.openxmlformats.org/officeDocument/2006/relationships/hyperlink" Target="https://brobizz.com/erhverv/produkter/brobizz-vejafgift-boks/"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lucas.perkild@regionh.d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mailto:lucas.perkild@regionh.dk"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mailto:LKPD@COWI.COM" TargetMode="External"/><Relationship Id="rId7" Type="http://schemas.openxmlformats.org/officeDocument/2006/relationships/hyperlink" Target="mailto:LKPD@COWI.COM" TargetMode="External"/><Relationship Id="rId2" Type="http://schemas.openxmlformats.org/officeDocument/2006/relationships/hyperlink" Target="mailto:LKPD@COWI.COM" TargetMode="External"/><Relationship Id="rId1" Type="http://schemas.openxmlformats.org/officeDocument/2006/relationships/hyperlink" Target="mailto:lucas.perkild@regionh.dk" TargetMode="External"/><Relationship Id="rId6" Type="http://schemas.openxmlformats.org/officeDocument/2006/relationships/hyperlink" Target="mailto:LKPD@COWI.COM" TargetMode="External"/><Relationship Id="rId5" Type="http://schemas.openxmlformats.org/officeDocument/2006/relationships/hyperlink" Target="mailto:LKPD@COWI.COM" TargetMode="External"/><Relationship Id="rId4" Type="http://schemas.openxmlformats.org/officeDocument/2006/relationships/hyperlink" Target="mailto:LKPD@COWI.COM" TargetMode="External"/><Relationship Id="rId9"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lucas.perkild@regionh.dk"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lucas.perkild@regionh.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22-40F7-494C-AAEB-96863E8B7DB8}">
  <sheetPr codeName="Sheet2"/>
  <dimension ref="B1:AJ45"/>
  <sheetViews>
    <sheetView showGridLines="0" zoomScale="70" zoomScaleNormal="70" workbookViewId="0">
      <selection activeCell="AB47" sqref="AB47"/>
    </sheetView>
  </sheetViews>
  <sheetFormatPr defaultColWidth="8.88671875" defaultRowHeight="14.4" x14ac:dyDescent="0.3"/>
  <cols>
    <col min="1" max="1" width="2.21875" customWidth="1"/>
    <col min="12" max="12" width="8.88671875" customWidth="1"/>
    <col min="14" max="14" width="11.109375" bestFit="1" customWidth="1"/>
    <col min="22" max="24" width="8.88671875" customWidth="1"/>
    <col min="25" max="25" width="3.44140625" customWidth="1"/>
    <col min="26" max="26" width="9.88671875" customWidth="1"/>
    <col min="27" max="27" width="9.109375" customWidth="1"/>
    <col min="28" max="28" width="9" customWidth="1"/>
    <col min="29" max="29" width="8.88671875" customWidth="1"/>
    <col min="34" max="34" width="11.109375" bestFit="1" customWidth="1"/>
    <col min="35" max="35" width="8.88671875" customWidth="1"/>
  </cols>
  <sheetData>
    <row r="1" spans="26:33" ht="8.4" customHeight="1" x14ac:dyDescent="0.3"/>
    <row r="2" spans="26:33" x14ac:dyDescent="0.3">
      <c r="Z2" s="209" t="s">
        <v>80</v>
      </c>
      <c r="AA2" s="209"/>
      <c r="AB2" s="209"/>
      <c r="AC2" s="209"/>
      <c r="AD2" s="209"/>
      <c r="AE2" s="209"/>
      <c r="AF2" s="209"/>
      <c r="AG2" s="209"/>
    </row>
    <row r="3" spans="26:33" x14ac:dyDescent="0.3">
      <c r="Z3" s="209" t="s">
        <v>19</v>
      </c>
      <c r="AA3" s="209"/>
      <c r="AB3" s="209"/>
      <c r="AC3" s="209"/>
      <c r="AD3" s="209" t="s">
        <v>81</v>
      </c>
      <c r="AE3" s="209"/>
      <c r="AF3" s="209"/>
      <c r="AG3" s="209"/>
    </row>
    <row r="4" spans="26:33" x14ac:dyDescent="0.3">
      <c r="Z4" s="210" t="s">
        <v>67</v>
      </c>
      <c r="AA4" s="211"/>
      <c r="AB4" s="211"/>
      <c r="AC4" s="212"/>
      <c r="AD4" s="213">
        <f>IF($V$34=2024,'2024'!S5,IF($V$34=2025,'2025'!S5,IF($V$34=2026,'2026'!S5,IF($V$34=2027,'2027'!S5,IF($V$34=2028,'2028'!S5,IF($V$34=2029,'2029'!S5,IF($V$34="2030 eller senere",'2030'!I8)))))))</f>
        <v>-1.4803036387434378</v>
      </c>
      <c r="AE4" s="214"/>
      <c r="AF4" s="214"/>
      <c r="AG4" s="215"/>
    </row>
    <row r="5" spans="26:33" x14ac:dyDescent="0.3">
      <c r="Z5" s="210" t="s">
        <v>49</v>
      </c>
      <c r="AA5" s="211"/>
      <c r="AB5" s="211"/>
      <c r="AC5" s="212"/>
      <c r="AD5" s="216">
        <f>IF($V$34=2024,'2024'!S6,IF($V$34=2025,'2025'!S6,IF($V$34=2026,'2026'!S6,IF($V$34=2027,'2027'!S6,IF($V$34=2028,'2028'!S6,IF($V$34=2029,'2029'!S6,IF($V$34="2030 eller senere",'2030'!I9)))))))</f>
        <v>-11102.277290575788</v>
      </c>
      <c r="AE5" s="217"/>
      <c r="AF5" s="217"/>
      <c r="AG5" s="218"/>
    </row>
    <row r="6" spans="26:33" x14ac:dyDescent="0.3">
      <c r="Z6" s="210" t="s">
        <v>50</v>
      </c>
      <c r="AA6" s="211"/>
      <c r="AB6" s="211"/>
      <c r="AC6" s="212"/>
      <c r="AD6" s="216">
        <f>IF($V$34=2024,'2024'!S7,IF($V$34=2025,'2025'!S7,IF($V$34=2026,'2026'!S7,IF($V$34=2027,'2027'!S7,IF($V$34=2028,'2028'!S7,IF($V$34=2029,'2029'!S7,IF($V$34="2030 eller senere",'2030'!I10)))))))</f>
        <v>-133227.32748690958</v>
      </c>
      <c r="AE6" s="217"/>
      <c r="AF6" s="217"/>
      <c r="AG6" s="218"/>
    </row>
    <row r="7" spans="26:33" x14ac:dyDescent="0.3">
      <c r="Z7" s="219" t="s">
        <v>69</v>
      </c>
      <c r="AA7" s="219"/>
      <c r="AB7" s="219"/>
      <c r="AC7" s="219"/>
      <c r="AD7" s="220">
        <f>IF($V$34=2024,'2024'!S8,IF($V$34=2025,'2025'!S8,IF($V$34=2026,'2026'!S8,IF($V$34=2027,'2027'!S8,IF($V$34=2028,'2028'!S8,IF($V$34=2029,'2029'!S8,IF($V$34="2030 eller senere",'2030'!I11)))))))</f>
        <v>-1065818.6198952766</v>
      </c>
      <c r="AE7" s="220"/>
      <c r="AF7" s="220"/>
      <c r="AG7" s="220"/>
    </row>
    <row r="9" spans="26:33" x14ac:dyDescent="0.3">
      <c r="Z9" s="221" t="s">
        <v>20</v>
      </c>
      <c r="AA9" s="222"/>
      <c r="AB9" s="222"/>
      <c r="AC9" s="222"/>
      <c r="AD9" s="222"/>
      <c r="AE9" s="222"/>
      <c r="AF9" s="222"/>
      <c r="AG9" s="223"/>
    </row>
    <row r="10" spans="26:33" x14ac:dyDescent="0.3">
      <c r="Z10" s="206" t="s">
        <v>82</v>
      </c>
      <c r="AA10" s="207"/>
      <c r="AB10" s="207"/>
      <c r="AC10" s="207"/>
      <c r="AD10" s="207"/>
      <c r="AE10" s="207"/>
      <c r="AF10" s="207"/>
      <c r="AG10" s="208"/>
    </row>
    <row r="11" spans="26:33" x14ac:dyDescent="0.3">
      <c r="Z11" s="199" t="s">
        <v>83</v>
      </c>
      <c r="AA11" s="200"/>
      <c r="AB11" s="200"/>
      <c r="AC11" s="200"/>
      <c r="AD11" s="200"/>
      <c r="AE11" s="201"/>
      <c r="AF11" s="202">
        <f>IF($V$34=2024,'2024'!S13,IF($V$34=2025,'2025'!S13,IF($V$34=2026,'2026'!S13,IF($V$34=2027,'2027'!S13,IF($V$34=2028,'2028'!S13,IF($V$34=2029,'2029'!S13,IF($V$34="2030 eller senere",'2030'!I15)))))))</f>
        <v>-2162868.6058081533</v>
      </c>
      <c r="AG11" s="203"/>
    </row>
    <row r="12" spans="26:33" x14ac:dyDescent="0.3">
      <c r="Z12" s="199" t="s">
        <v>13</v>
      </c>
      <c r="AA12" s="200"/>
      <c r="AB12" s="200"/>
      <c r="AC12" s="200"/>
      <c r="AD12" s="200"/>
      <c r="AE12" s="201"/>
      <c r="AF12" s="202">
        <f>IF($V$34=2024,'2024'!S14,IF($V$34=2025,'2025'!S14,IF($V$34=2026,'2026'!S14,IF($V$34=2027,'2027'!S14,IF($V$34=2028,'2028'!S14,IF($V$34=2029,'2029'!S14,IF($V$34="2030 eller senere",'2030'!I16)))))))</f>
        <v>11427.604019925806</v>
      </c>
      <c r="AG12" s="203"/>
    </row>
    <row r="13" spans="26:33" ht="16.2" x14ac:dyDescent="0.45">
      <c r="Z13" s="181" t="s">
        <v>2</v>
      </c>
      <c r="AA13" s="182"/>
      <c r="AB13" s="182"/>
      <c r="AC13" s="182"/>
      <c r="AD13" s="182"/>
      <c r="AE13" s="183"/>
      <c r="AF13" s="204">
        <f>IF($V$34=2024,'2024'!S15,IF($V$34=2025,'2025'!S15,IF($V$34=2026,'2026'!S15,IF($V$34=2027,'2027'!S15,IF($V$34=2028,'2028'!S15,IF($V$34=2029,'2029'!S15,IF($V$34="2030 eller senere",'2030'!I17)))))))</f>
        <v>189.26702413181761</v>
      </c>
      <c r="AG13" s="205"/>
    </row>
    <row r="14" spans="26:33" ht="16.2" x14ac:dyDescent="0.45">
      <c r="Z14" s="181" t="s">
        <v>11</v>
      </c>
      <c r="AA14" s="182"/>
      <c r="AB14" s="182"/>
      <c r="AC14" s="182"/>
      <c r="AD14" s="182"/>
      <c r="AE14" s="183"/>
      <c r="AF14" s="184">
        <f>IF($V$34=2024,'2024'!S16,IF($V$34=2025,'2025'!S16,IF($V$34=2026,'2026'!S16,IF($V$34=2027,'2027'!S16,IF($V$34=2028,'2028'!S16,IF($V$34=2029,'2029'!S16,IF($V$34="2030 eller senere",'2030'!I18)))))))</f>
        <v>15.772252010984801</v>
      </c>
      <c r="AG14" s="185"/>
    </row>
    <row r="21" spans="27:36" x14ac:dyDescent="0.3">
      <c r="AA21" s="29"/>
      <c r="AB21" s="29"/>
      <c r="AC21" s="30" t="s">
        <v>130</v>
      </c>
      <c r="AD21" s="30" t="s">
        <v>27</v>
      </c>
      <c r="AE21" s="3" t="s">
        <v>126</v>
      </c>
    </row>
    <row r="22" spans="27:36" x14ac:dyDescent="0.3">
      <c r="AA22" s="74" t="s">
        <v>31</v>
      </c>
      <c r="AB22" s="30" t="s">
        <v>14</v>
      </c>
      <c r="AC22" s="31">
        <f>IF($V$34=2024,'2024'!H41,IF($V$34=2025,'2025'!H41,IF($V$34=2026,'2026'!H41,IF($V$34=2027,'2027'!H41,IF($V$34=2028,'2028'!H41,IF($V$34=2029,'2029'!H41,IF($V$34="2030 ELLER SENERE",'2030'!H44)))))))</f>
        <v>4.3118662292976424</v>
      </c>
      <c r="AD22" s="31">
        <f>IF($V$34=2024,'2024'!I41,IF($V$34=2025,'2025'!I41,IF($V$34=2026,'2026'!I41,IF($V$34=2027,'2027'!I41,IF($V$34=2028,'2028'!I41,IF($V$34=2029,'2029'!I41,IF($V$34="2030 ELLER SENERE",'2030'!I44)))))))</f>
        <v>0.34499999999999997</v>
      </c>
      <c r="AE22" s="31">
        <f>IF($V$34=2024,'2024'!J41,IF($V$34=2025,'2025'!J41,IF($V$34=2026,'2026'!J41,IF($V$34=2027,'2027'!J41,IF($V$34=2028,'2028'!J41,IF($V$34=2029,'2029'!J41,IF($V$34="2030 ELLER SENERE",'2030'!J44)))))))</f>
        <v>4</v>
      </c>
    </row>
    <row r="23" spans="27:36" x14ac:dyDescent="0.3">
      <c r="AA23" s="74"/>
      <c r="AB23" s="30" t="s">
        <v>15</v>
      </c>
      <c r="AC23" s="31">
        <f>IF($V$34=2024,'2024'!H42,IF($V$34=2025,'2025'!H42,IF($V$34=2026,'2026'!H42,IF($V$34=2027,'2027'!H42,IF($V$34=2028,'2028'!H42,IF($V$34=2029,'2029'!H42,IF($V$34="2030 ELLER SENERE",'2030'!H45)))))))</f>
        <v>1.6528820545640963</v>
      </c>
      <c r="AD23" s="31">
        <f>IF($V$34=2024,'2024'!I42,IF($V$34=2025,'2025'!I42,IF($V$34=2026,'2026'!I42,IF($V$34=2027,'2027'!I42,IF($V$34=2028,'2028'!I42,IF($V$34=2029,'2029'!I42,IF($V$34="2030 ELLER SENERE",'2030'!I45)))))))</f>
        <v>0</v>
      </c>
      <c r="AE23" s="31">
        <f>IF($V$34=2024,'2024'!J42,IF($V$34=2025,'2025'!J42,IF($V$34=2026,'2026'!J42,IF($V$34=2027,'2027'!J42,IF($V$34=2028,'2028'!J42,IF($V$34=2029,'2029'!J42,IF($V$34="2030 ELLER SENERE",'2030'!J45)))))))</f>
        <v>4</v>
      </c>
    </row>
    <row r="24" spans="27:36" x14ac:dyDescent="0.3">
      <c r="AA24" s="75" t="s">
        <v>24</v>
      </c>
      <c r="AB24" s="30" t="s">
        <v>25</v>
      </c>
      <c r="AC24" s="30" t="s">
        <v>22</v>
      </c>
      <c r="AD24" s="30" t="s">
        <v>21</v>
      </c>
      <c r="AE24" s="29"/>
      <c r="AG24" s="74"/>
      <c r="AH24" s="74"/>
      <c r="AI24" s="74"/>
      <c r="AJ24" s="74"/>
    </row>
    <row r="25" spans="27:36" x14ac:dyDescent="0.3">
      <c r="AA25" s="31">
        <f>IF($V$34=2024,'2024'!F45,IF($V$34=2025,'2025'!F45,IF($V$34=2026,'2026'!F45,IF($V$34=2027,'2027'!F45,IF($V$34=2028,'2028'!F45,IF($V$34=2029,'2029'!F45,IF($V$34="2030 ELLER SENERE",'2030'!F48)))))))</f>
        <v>1.3952430555555555</v>
      </c>
      <c r="AB25" s="31">
        <f>IF($V$34=2024,'2024'!G45,IF($V$34=2025,'2025'!G45,IF($V$34=2026,'2026'!G45,IF($V$34=2027,'2027'!G45,IF($V$34=2028,'2028'!G45,IF($V$34=2029,'2029'!G45,IF($V$34="2030 ELLER SENERE",'2030'!G48)))))))</f>
        <v>1.3414666666666666</v>
      </c>
      <c r="AC25" s="31">
        <f>IF($V$34=2024,'2024'!H45,IF($V$34=2025,'2025'!H45,IF($V$34=2026,'2026'!H45,IF($V$34=2027,'2027'!H45,IF($V$34=2028,'2028'!H45,IF($V$34=2029,'2029'!H45,IF($V$34="2030 ELLER SENERE",'2030'!H48)))))))</f>
        <v>0.17710363927279796</v>
      </c>
      <c r="AD25" s="29">
        <v>1E-14</v>
      </c>
      <c r="AE25" s="32" t="str">
        <f>"Total "&amp;ROUND(AC22+AD22+AA25+AB25+AC25+AE22,2)</f>
        <v>Total 11,57</v>
      </c>
    </row>
    <row r="26" spans="27:36" x14ac:dyDescent="0.3">
      <c r="AA26" s="31">
        <f>IF($V$34=2024,'2024'!F46,IF($V$34=2025,'2025'!F46,IF($V$34=2026,'2026'!F46,IF($V$34=2027,'2027'!F46,IF($V$34=2028,'2028'!F46,IF($V$34=2029,'2029'!F46,IF($V$34="2030 ELLER SENERE",'2030'!F49)))))))</f>
        <v>3.3932000000000002</v>
      </c>
      <c r="AB26" s="31">
        <f>IF($V$34=2024,'2024'!G46,IF($V$34=2025,'2025'!G46,IF($V$34=2026,'2026'!G46,IF($V$34=2027,'2027'!G46,IF($V$34=2028,'2028'!G46,IF($V$34=2029,'2029'!G46,IF($V$34="2030 ELLER SENERE",'2030'!G49)))))))</f>
        <v>0.88906666666666667</v>
      </c>
      <c r="AC26" s="31">
        <f>IF($V$34=2024,'2024'!H46,IF($V$34=2025,'2025'!H46,IF($V$34=2026,'2026'!H46,IF($V$34=2027,'2027'!H46,IF($V$34=2028,'2028'!H46,IF($V$34=2029,'2029'!H46,IF($V$34="2030 ELLER SENERE",'2030'!H49)))))))</f>
        <v>0.15522723081846143</v>
      </c>
      <c r="AD26" s="29">
        <v>1E-14</v>
      </c>
      <c r="AE26" s="32" t="str">
        <f>"Total "&amp;ROUND(AC23+AD23+AA26+AB26+AC26+AE23,2)</f>
        <v>Total 10,09</v>
      </c>
    </row>
    <row r="34" spans="2:34" ht="15" customHeight="1" x14ac:dyDescent="0.3">
      <c r="B34" s="186" t="s">
        <v>210</v>
      </c>
      <c r="C34" s="187"/>
      <c r="D34" s="187"/>
      <c r="E34" s="187"/>
      <c r="F34" s="187"/>
      <c r="G34" s="187"/>
      <c r="H34" s="187"/>
      <c r="I34" s="187"/>
      <c r="J34" s="187"/>
      <c r="K34" s="187"/>
      <c r="L34" s="187"/>
      <c r="M34" s="187"/>
      <c r="N34" s="187"/>
      <c r="O34" s="187"/>
      <c r="P34" s="187"/>
      <c r="Q34" s="187"/>
      <c r="R34" s="188"/>
      <c r="S34" s="192">
        <v>90000</v>
      </c>
      <c r="T34" s="193"/>
      <c r="U34" s="194"/>
      <c r="V34" s="195">
        <v>2024</v>
      </c>
      <c r="W34" s="195"/>
      <c r="X34" s="195"/>
    </row>
    <row r="35" spans="2:34" ht="15" customHeight="1" x14ac:dyDescent="0.3">
      <c r="B35" s="189"/>
      <c r="C35" s="190"/>
      <c r="D35" s="190"/>
      <c r="E35" s="190"/>
      <c r="F35" s="190"/>
      <c r="G35" s="190"/>
      <c r="H35" s="190"/>
      <c r="I35" s="190"/>
      <c r="J35" s="190"/>
      <c r="K35" s="190"/>
      <c r="L35" s="190"/>
      <c r="M35" s="190"/>
      <c r="N35" s="190"/>
      <c r="O35" s="190"/>
      <c r="P35" s="190"/>
      <c r="Q35" s="190"/>
      <c r="R35" s="191"/>
      <c r="S35" s="196">
        <v>8</v>
      </c>
      <c r="T35" s="197"/>
      <c r="U35" s="198"/>
      <c r="V35" s="195"/>
      <c r="W35" s="195"/>
      <c r="X35" s="195"/>
    </row>
    <row r="37" spans="2:34" ht="15.6" x14ac:dyDescent="0.3">
      <c r="Q37" s="169"/>
      <c r="R37" s="170"/>
      <c r="S37" s="170"/>
      <c r="T37" s="170"/>
      <c r="U37" s="170"/>
      <c r="V37" s="171"/>
      <c r="W37" s="169"/>
      <c r="X37" s="171"/>
      <c r="Z37" s="172"/>
      <c r="AA37" s="173"/>
      <c r="AB37" s="173"/>
      <c r="AC37" s="173"/>
      <c r="AD37" s="173"/>
      <c r="AE37" s="174"/>
      <c r="AF37" s="175"/>
      <c r="AG37" s="174"/>
    </row>
    <row r="38" spans="2:34" x14ac:dyDescent="0.3">
      <c r="Q38" s="162"/>
      <c r="R38" s="163"/>
      <c r="S38" s="163"/>
      <c r="T38" s="163"/>
      <c r="U38" s="163"/>
      <c r="V38" s="164"/>
      <c r="W38" s="165"/>
      <c r="X38" s="166"/>
      <c r="Z38" s="176"/>
      <c r="AA38" s="177"/>
      <c r="AB38" s="177"/>
      <c r="AC38" s="177"/>
      <c r="AD38" s="177"/>
      <c r="AE38" s="178"/>
      <c r="AF38" s="179"/>
      <c r="AG38" s="180"/>
      <c r="AH38" s="81"/>
    </row>
    <row r="39" spans="2:34" x14ac:dyDescent="0.3">
      <c r="O39">
        <v>2024</v>
      </c>
      <c r="Q39" s="162"/>
      <c r="R39" s="163"/>
      <c r="S39" s="163"/>
      <c r="T39" s="163"/>
      <c r="U39" s="163"/>
      <c r="V39" s="164"/>
      <c r="W39" s="165"/>
      <c r="X39" s="166"/>
      <c r="Z39" s="162"/>
      <c r="AA39" s="163"/>
      <c r="AB39" s="163"/>
      <c r="AC39" s="163"/>
      <c r="AD39" s="163"/>
      <c r="AE39" s="164"/>
      <c r="AF39" s="167"/>
      <c r="AG39" s="168"/>
      <c r="AH39" s="81"/>
    </row>
    <row r="40" spans="2:34" x14ac:dyDescent="0.3">
      <c r="O40">
        <v>2025</v>
      </c>
      <c r="Q40" s="162"/>
      <c r="R40" s="163"/>
      <c r="S40" s="163"/>
      <c r="T40" s="163"/>
      <c r="U40" s="163"/>
      <c r="V40" s="164"/>
      <c r="W40" s="165"/>
      <c r="X40" s="166"/>
      <c r="Z40" s="162"/>
      <c r="AA40" s="163"/>
      <c r="AB40" s="163"/>
      <c r="AC40" s="163"/>
      <c r="AD40" s="163"/>
      <c r="AE40" s="163"/>
      <c r="AF40" s="167"/>
      <c r="AG40" s="168"/>
      <c r="AH40" s="81"/>
    </row>
    <row r="41" spans="2:34" x14ac:dyDescent="0.3">
      <c r="O41">
        <v>2026</v>
      </c>
    </row>
    <row r="42" spans="2:34" x14ac:dyDescent="0.3">
      <c r="O42">
        <v>2027</v>
      </c>
    </row>
    <row r="43" spans="2:34" x14ac:dyDescent="0.3">
      <c r="O43">
        <v>2028</v>
      </c>
    </row>
    <row r="44" spans="2:34" x14ac:dyDescent="0.3">
      <c r="O44">
        <v>2029</v>
      </c>
    </row>
    <row r="45" spans="2:34" x14ac:dyDescent="0.3">
      <c r="O45" t="s">
        <v>194</v>
      </c>
    </row>
  </sheetData>
  <mergeCells count="41">
    <mergeCell ref="Z10:AG10"/>
    <mergeCell ref="Z2:AG2"/>
    <mergeCell ref="Z3:AC3"/>
    <mergeCell ref="AD3:AG3"/>
    <mergeCell ref="Z4:AC4"/>
    <mergeCell ref="AD4:AG4"/>
    <mergeCell ref="Z5:AC5"/>
    <mergeCell ref="AD5:AG5"/>
    <mergeCell ref="Z6:AC6"/>
    <mergeCell ref="AD6:AG6"/>
    <mergeCell ref="Z7:AC7"/>
    <mergeCell ref="AD7:AG7"/>
    <mergeCell ref="Z9:AG9"/>
    <mergeCell ref="Z11:AE11"/>
    <mergeCell ref="AF11:AG11"/>
    <mergeCell ref="Z12:AE12"/>
    <mergeCell ref="AF12:AG12"/>
    <mergeCell ref="Z13:AE13"/>
    <mergeCell ref="AF13:AG13"/>
    <mergeCell ref="Z14:AE14"/>
    <mergeCell ref="AF14:AG14"/>
    <mergeCell ref="B34:R35"/>
    <mergeCell ref="S34:U34"/>
    <mergeCell ref="V34:X35"/>
    <mergeCell ref="S35:U35"/>
    <mergeCell ref="Q37:V37"/>
    <mergeCell ref="W37:X37"/>
    <mergeCell ref="Z37:AE37"/>
    <mergeCell ref="AF37:AG37"/>
    <mergeCell ref="Q38:V38"/>
    <mergeCell ref="W38:X38"/>
    <mergeCell ref="Z38:AE38"/>
    <mergeCell ref="AF38:AG38"/>
    <mergeCell ref="Q39:V39"/>
    <mergeCell ref="W39:X39"/>
    <mergeCell ref="Z39:AE39"/>
    <mergeCell ref="AF39:AG39"/>
    <mergeCell ref="Q40:V40"/>
    <mergeCell ref="W40:X40"/>
    <mergeCell ref="Z40:AE40"/>
    <mergeCell ref="AF40:AG40"/>
  </mergeCells>
  <conditionalFormatting sqref="W38:W40">
    <cfRule type="colorScale" priority="6">
      <colorScale>
        <cfvo type="num" val="-50000"/>
        <cfvo type="num" val="0"/>
        <cfvo type="max"/>
        <color rgb="FFFF0000"/>
        <color theme="0"/>
        <color rgb="FF00B050"/>
      </colorScale>
    </cfRule>
    <cfRule type="colorScale" priority="7">
      <colorScale>
        <cfvo type="num" val="-100000"/>
        <cfvo type="num" val="0"/>
        <cfvo type="max"/>
        <color rgb="FFFF0000"/>
        <color theme="0"/>
        <color rgb="FF00B050"/>
      </colorScale>
    </cfRule>
    <cfRule type="colorScale" priority="8">
      <colorScale>
        <cfvo type="num" val="-100000"/>
        <cfvo type="num" val="0"/>
        <cfvo type="max"/>
        <color rgb="FFF8696B"/>
        <color theme="0"/>
        <color rgb="FF63BE7B"/>
      </colorScale>
    </cfRule>
    <cfRule type="colorScale" priority="9">
      <colorScale>
        <cfvo type="min"/>
        <cfvo type="num" val="0"/>
        <cfvo type="max"/>
        <color rgb="FFFF0000"/>
        <color theme="0"/>
        <color rgb="FF00B050"/>
      </colorScale>
    </cfRule>
  </conditionalFormatting>
  <conditionalFormatting sqref="W39">
    <cfRule type="colorScale" priority="3">
      <colorScale>
        <cfvo type="num" val="-50000"/>
        <cfvo type="num" val="0"/>
        <cfvo type="max"/>
        <color rgb="FFFF0000"/>
        <color theme="0"/>
        <color rgb="FF00B050"/>
      </colorScale>
    </cfRule>
    <cfRule type="colorScale" priority="4">
      <colorScale>
        <cfvo type="num" val="-100000"/>
        <cfvo type="num" val="0"/>
        <cfvo type="max"/>
        <color rgb="FFFF0000"/>
        <color theme="0"/>
        <color rgb="FF00B050"/>
      </colorScale>
    </cfRule>
    <cfRule type="colorScale" priority="5">
      <colorScale>
        <cfvo type="num" val="-100000"/>
        <cfvo type="num" val="0"/>
        <cfvo type="max"/>
        <color rgb="FFF8696B"/>
        <color theme="0"/>
        <color rgb="FF63BE7B"/>
      </colorScale>
    </cfRule>
  </conditionalFormatting>
  <conditionalFormatting sqref="AD4:AD7">
    <cfRule type="colorScale" priority="2">
      <colorScale>
        <cfvo type="num" val="-1"/>
        <cfvo type="num" val="0"/>
        <cfvo type="num" val="1"/>
        <color rgb="FFFF0000"/>
        <color theme="0"/>
        <color rgb="FF00B050"/>
      </colorScale>
    </cfRule>
  </conditionalFormatting>
  <conditionalFormatting sqref="AF38:AG40">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V34:X35" xr:uid="{F6996DCA-E4F7-492B-90E6-C10076B29219}">
      <formula1>$O$39:$O$45</formula1>
    </dataValidation>
  </dataValidations>
  <pageMargins left="0.7" right="0.7" top="0.75" bottom="0.75" header="0.3" footer="0.3"/>
  <pageSetup paperSize="9" orientation="portrait"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D8143-01CD-450A-BB2A-1C3CFE70651C}">
  <sheetPr codeName="Sheet13">
    <tabColor rgb="FFFFC000"/>
  </sheetPr>
  <dimension ref="B2:AF109"/>
  <sheetViews>
    <sheetView showGridLines="0" zoomScaleNormal="100" workbookViewId="0">
      <selection activeCell="C20" sqref="C20"/>
    </sheetView>
  </sheetViews>
  <sheetFormatPr defaultColWidth="8.88671875" defaultRowHeight="14.4" x14ac:dyDescent="0.3"/>
  <cols>
    <col min="1" max="1" width="2"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19" ht="25.8" x14ac:dyDescent="0.5">
      <c r="B2" s="279" t="s">
        <v>93</v>
      </c>
      <c r="C2" s="280"/>
      <c r="D2" s="281"/>
      <c r="E2" s="6"/>
      <c r="F2" s="237" t="s">
        <v>6</v>
      </c>
      <c r="G2" s="237"/>
      <c r="H2" s="237"/>
      <c r="I2" s="237"/>
      <c r="P2" s="234" t="s">
        <v>80</v>
      </c>
      <c r="Q2" s="234"/>
      <c r="R2" s="234"/>
      <c r="S2" s="234"/>
    </row>
    <row r="3" spans="2:19" x14ac:dyDescent="0.3">
      <c r="F3" s="282" t="s">
        <v>176</v>
      </c>
      <c r="G3" s="282"/>
      <c r="H3" s="282"/>
      <c r="I3" s="282"/>
      <c r="P3" s="234" t="s">
        <v>19</v>
      </c>
      <c r="Q3" s="234"/>
      <c r="R3" s="234"/>
      <c r="S3" s="28" t="s">
        <v>81</v>
      </c>
    </row>
    <row r="4" spans="2:19" ht="18" x14ac:dyDescent="0.35">
      <c r="B4" s="283" t="s">
        <v>3</v>
      </c>
      <c r="C4" s="284"/>
      <c r="D4" s="285"/>
      <c r="P4" s="286" t="s">
        <v>87</v>
      </c>
      <c r="Q4" s="286"/>
      <c r="R4" s="286"/>
      <c r="S4" s="286"/>
    </row>
    <row r="5" spans="2:19" x14ac:dyDescent="0.3">
      <c r="B5" s="276" t="s">
        <v>68</v>
      </c>
      <c r="C5" s="278"/>
      <c r="D5" s="2"/>
      <c r="F5" s="244" t="s">
        <v>237</v>
      </c>
      <c r="G5" s="245"/>
      <c r="H5" s="245"/>
      <c r="I5" s="246"/>
      <c r="P5" s="287" t="s">
        <v>67</v>
      </c>
      <c r="Q5" s="287"/>
      <c r="R5" s="287"/>
      <c r="S5" s="58">
        <f>(H42+I42+F46+G46+H46)-(H41+I41+F45+G45+H45)</f>
        <v>-0.23435311257643576</v>
      </c>
    </row>
    <row r="6" spans="2:19" ht="16.2" x14ac:dyDescent="0.45">
      <c r="B6" s="276" t="s">
        <v>4</v>
      </c>
      <c r="C6" s="278"/>
      <c r="D6" s="4"/>
      <c r="F6" s="20"/>
      <c r="G6" s="244" t="s">
        <v>114</v>
      </c>
      <c r="H6" s="246"/>
      <c r="I6" s="28" t="s">
        <v>15</v>
      </c>
      <c r="P6" s="287" t="s">
        <v>49</v>
      </c>
      <c r="Q6" s="287"/>
      <c r="R6" s="287"/>
      <c r="S6" s="43">
        <f>$D$86-$C$86</f>
        <v>-11102.277290575788</v>
      </c>
    </row>
    <row r="7" spans="2:19" ht="16.2" x14ac:dyDescent="0.45">
      <c r="B7" s="276" t="s">
        <v>5</v>
      </c>
      <c r="C7" s="278"/>
      <c r="D7" s="8"/>
      <c r="E7" s="3"/>
      <c r="F7" s="94" t="s">
        <v>30</v>
      </c>
      <c r="G7" s="305">
        <f>(H41+I41+J41+F45+G45+H45)</f>
        <v>11.754760043467559</v>
      </c>
      <c r="H7" s="306"/>
      <c r="I7" s="104">
        <f>(H42+I42+J42+F46+G46+H46)</f>
        <v>11.520406930891122</v>
      </c>
      <c r="P7" s="287" t="s">
        <v>50</v>
      </c>
      <c r="Q7" s="287"/>
      <c r="R7" s="287"/>
      <c r="S7" s="43">
        <f>$D$87-$C$87</f>
        <v>-133227.32748690958</v>
      </c>
    </row>
    <row r="8" spans="2:19" ht="16.2" x14ac:dyDescent="0.45">
      <c r="B8" s="276" t="s">
        <v>23</v>
      </c>
      <c r="C8" s="278"/>
      <c r="D8" s="5"/>
      <c r="E8" s="7"/>
      <c r="F8" s="94" t="s">
        <v>236</v>
      </c>
      <c r="G8" s="305">
        <f>H45</f>
        <v>0.36118409194769513</v>
      </c>
      <c r="H8" s="306"/>
      <c r="I8" s="104">
        <f>H46</f>
        <v>1.5852582096603602</v>
      </c>
      <c r="P8" s="287" t="s">
        <v>69</v>
      </c>
      <c r="Q8" s="287"/>
      <c r="R8" s="287"/>
      <c r="S8" s="43">
        <f>$D$88-$C$88</f>
        <v>-1065818.6198952766</v>
      </c>
    </row>
    <row r="9" spans="2:19" x14ac:dyDescent="0.3">
      <c r="F9" s="94" t="s">
        <v>223</v>
      </c>
      <c r="G9" s="307">
        <f>(G8/G7)*100</f>
        <v>3.0726623989948223</v>
      </c>
      <c r="H9" s="308"/>
      <c r="I9" s="133">
        <f>(I8/I7)*100</f>
        <v>13.760435887117902</v>
      </c>
      <c r="P9"/>
      <c r="Q9"/>
      <c r="R9"/>
      <c r="S9"/>
    </row>
    <row r="10" spans="2:19" x14ac:dyDescent="0.3">
      <c r="F10" s="94" t="s">
        <v>232</v>
      </c>
      <c r="G10" s="300">
        <f>H45/((H41+I41+J41+F45+G45))*100</f>
        <v>3.1700678828538851</v>
      </c>
      <c r="H10" s="301"/>
      <c r="I10" s="133">
        <f>H46/(H42+I42+J42+F46+G46)*100</f>
        <v>15.956059180802873</v>
      </c>
      <c r="P10"/>
      <c r="Q10"/>
      <c r="R10"/>
      <c r="S10"/>
    </row>
    <row r="11" spans="2:19" x14ac:dyDescent="0.3">
      <c r="B11" s="298" t="s">
        <v>10</v>
      </c>
      <c r="C11" s="299"/>
      <c r="D11" s="69">
        <f>Virksomhedssetup!E10</f>
        <v>90000</v>
      </c>
      <c r="P11" s="312" t="s">
        <v>20</v>
      </c>
      <c r="Q11" s="313"/>
      <c r="R11" s="313"/>
      <c r="S11" s="314"/>
    </row>
    <row r="12" spans="2:19" x14ac:dyDescent="0.3">
      <c r="B12" s="298" t="s">
        <v>71</v>
      </c>
      <c r="C12" s="299"/>
      <c r="D12" s="69">
        <f>Virksomhedssetup!E11</f>
        <v>8</v>
      </c>
      <c r="P12" s="309" t="s">
        <v>82</v>
      </c>
      <c r="Q12" s="310"/>
      <c r="R12" s="310"/>
      <c r="S12" s="311"/>
    </row>
    <row r="13" spans="2:19" x14ac:dyDescent="0.3">
      <c r="B13" s="298" t="s">
        <v>128</v>
      </c>
      <c r="C13" s="299"/>
      <c r="D13" s="69">
        <f>Virksomhedssetup!E12</f>
        <v>7500</v>
      </c>
      <c r="P13" s="199" t="s">
        <v>83</v>
      </c>
      <c r="Q13" s="200"/>
      <c r="R13" s="201"/>
      <c r="S13" s="100">
        <f>D39-(C39+C48)</f>
        <v>-2162868.6058081533</v>
      </c>
    </row>
    <row r="14" spans="2:19" x14ac:dyDescent="0.3">
      <c r="B14" s="298" t="s">
        <v>129</v>
      </c>
      <c r="C14" s="299"/>
      <c r="D14" s="69">
        <f>Virksomhedssetup!E13</f>
        <v>96</v>
      </c>
      <c r="P14" s="199" t="s">
        <v>13</v>
      </c>
      <c r="Q14" s="200"/>
      <c r="R14" s="201"/>
      <c r="S14" s="100">
        <f>IF($D$12=1,'Dataark TCO'!P25*1,
IF($D$12=2,(('Dataark TCO'!P25+'Dataark TCO'!P30)/2),
IF($D$12=3,(('Dataark TCO'!P25+'Dataark TCO'!P30+'Dataark TCO'!P35)/3),
IF($D$12=4,(('Dataark TCO'!P25+'Dataark TCO'!P30+'Dataark TCO'!P35+'Dataark TCO'!P35)/4),
IF($D$12=5,(('Dataark TCO'!P25+'Dataark TCO'!P30+'Dataark TCO'!P35+'Dataark TCO'!P35+'Dataark TCO'!P35)/5),
IF($D$12=6,(('Dataark TCO'!P25+'Dataark TCO'!P30+'Dataark TCO'!P35+'Dataark TCO'!P35+'Dataark TCO'!P35+'Dataark TCO'!P35)/6),
IF($D$12=7,(('Dataark TCO'!P25+'Dataark TCO'!P30+'Dataark TCO'!P35+'Dataark TCO'!P35+'Dataark TCO'!P35+'Dataark TCO'!P35+'Dataark TCO'!P35)/7),
IF($D$12=8,(('Dataark TCO'!P25+'Dataark TCO'!P30+'Dataark TCO'!P35+'Dataark TCO'!P35+'Dataark TCO'!P35+'Dataark TCO'!P35+'Dataark TCO'!P35+'Dataark TCO'!P35)/8),
IF($D$12=9,(('Dataark TCO'!P25+'Dataark TCO'!P30+'Dataark TCO'!P35+'Dataark TCO'!P35+'Dataark TCO'!P35+'Dataark TCO'!P35+'Dataark TCO'!P35+'Dataark TCO'!P35+'Dataark TCO'!P35)/9),
IF($D$12=10,(('Dataark TCO'!P25+'Dataark TCO'!P30+'Dataark TCO'!P35+'Dataark TCO'!P35+'Dataark TCO'!P35+'Dataark TCO'!P35+'Dataark TCO'!P35+'Dataark TCO'!P35+'Dataark TCO'!P35+'Dataark TCO'!P35)/10),
IF($D$12=11,(('Dataark TCO'!P25+'Dataark TCO'!P30+'Dataark TCO'!P35+'Dataark TCO'!P35+'Dataark TCO'!P35+'Dataark TCO'!P35+'Dataark TCO'!P35+'Dataark TCO'!P35+'Dataark TCO'!P35+'Dataark TCO'!P35+'Dataark TCO'!P35)/11),
IF($D$12=12,(('Dataark TCO'!P25+'Dataark TCO'!P30+'Dataark TCO'!P35+'Dataark TCO'!P35+'Dataark TCO'!P35+'Dataark TCO'!P35+'Dataark TCO'!P35+'Dataark TCO'!P35+'Dataark TCO'!P35+'Dataark TCO'!P35+'Dataark TCO'!P35+'Dataark TCO'!P35)/12),
IF($D$12=13,(('Dataark TCO'!P25+'Dataark TCO'!P30+'Dataark TCO'!P35+'Dataark TCO'!P35+'Dataark TCO'!P35+'Dataark TCO'!P35+'Dataark TCO'!P35+'Dataark TCO'!P35+'Dataark TCO'!P35+'Dataark TCO'!P35+'Dataark TCO'!P35+'Dataark TCO'!P35+'Dataark TCO'!P35)/13))))))))))))))</f>
        <v>19059.60401992581</v>
      </c>
    </row>
    <row r="15" spans="2:19" ht="16.2" x14ac:dyDescent="0.45">
      <c r="B15" s="298" t="s">
        <v>139</v>
      </c>
      <c r="C15" s="299"/>
      <c r="D15" s="69">
        <f>Virksomhedssetup!E14</f>
        <v>300</v>
      </c>
      <c r="P15" s="181" t="s">
        <v>2</v>
      </c>
      <c r="Q15" s="182"/>
      <c r="R15" s="183"/>
      <c r="S15" s="101">
        <f>(S13-S13-S13)/S14</f>
        <v>113.47919943913779</v>
      </c>
    </row>
    <row r="16" spans="2:19" ht="16.2" x14ac:dyDescent="0.45">
      <c r="B16" s="298" t="s">
        <v>138</v>
      </c>
      <c r="C16" s="299"/>
      <c r="D16" s="69">
        <f>Virksomhedssetup!E15</f>
        <v>300</v>
      </c>
      <c r="P16" s="181" t="s">
        <v>11</v>
      </c>
      <c r="Q16" s="182"/>
      <c r="R16" s="183"/>
      <c r="S16" s="102">
        <f>S15/12</f>
        <v>9.4565999532614828</v>
      </c>
    </row>
    <row r="18" spans="2:4" x14ac:dyDescent="0.3">
      <c r="B18" s="28" t="s">
        <v>140</v>
      </c>
      <c r="C18" s="28"/>
      <c r="D18" s="28"/>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28" t="s">
        <v>8</v>
      </c>
      <c r="C26" s="28"/>
      <c r="D26" s="28"/>
    </row>
    <row r="27" spans="2:4" x14ac:dyDescent="0.3">
      <c r="B27" s="87" t="s">
        <v>130</v>
      </c>
      <c r="C27" s="87"/>
      <c r="D27" s="87"/>
    </row>
    <row r="28" spans="2:4" x14ac:dyDescent="0.3">
      <c r="B28" s="8" t="s">
        <v>38</v>
      </c>
      <c r="C28" s="149">
        <v>3000000</v>
      </c>
      <c r="D28" s="149">
        <f>Virksomhedssetup!E27</f>
        <v>1150000</v>
      </c>
    </row>
    <row r="29" spans="2:4" x14ac:dyDescent="0.3">
      <c r="B29" s="11" t="s">
        <v>37</v>
      </c>
      <c r="C29" s="149">
        <f>Virksomhedssetup!D28</f>
        <v>0</v>
      </c>
      <c r="D29" s="149">
        <f>Virksomhedssetup!E28</f>
        <v>0</v>
      </c>
    </row>
    <row r="30" spans="2:4" x14ac:dyDescent="0.3">
      <c r="B30" s="80"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s="29" customFormat="1" x14ac:dyDescent="0.3">
      <c r="B35" s="8" t="s">
        <v>1</v>
      </c>
      <c r="C35" s="159">
        <f>Virksomhedssetup!D34</f>
        <v>0.03</v>
      </c>
      <c r="D35" s="159">
        <f>Virksomhedssetup!E34</f>
        <v>0.03</v>
      </c>
      <c r="E35"/>
      <c r="Y35"/>
      <c r="Z35"/>
      <c r="AA35"/>
      <c r="AB35"/>
      <c r="AC35"/>
      <c r="AD35"/>
      <c r="AE35"/>
      <c r="AF35"/>
    </row>
    <row r="36" spans="2:32" s="29" customFormat="1" x14ac:dyDescent="0.3">
      <c r="B36" s="5" t="s">
        <v>42</v>
      </c>
      <c r="C36" s="47">
        <f>C39-(C31-C34-C32)</f>
        <v>404543.68509430252</v>
      </c>
      <c r="D36" s="47">
        <f t="shared" ref="D36" si="0">D39-(D31-D34-D32)</f>
        <v>155075.07928614924</v>
      </c>
      <c r="E36"/>
      <c r="Y36"/>
      <c r="Z36"/>
      <c r="AA36"/>
      <c r="AB36"/>
      <c r="AC36"/>
      <c r="AD36"/>
      <c r="AE36"/>
      <c r="AF36"/>
    </row>
    <row r="37" spans="2:32" s="29" customFormat="1" ht="16.2" x14ac:dyDescent="0.3">
      <c r="B37" s="9" t="s">
        <v>43</v>
      </c>
      <c r="C37" s="44">
        <f>PMT(C35/12,$D$14,(C31-C32)*-1,C34,1)</f>
        <v>32338.996719732317</v>
      </c>
      <c r="D37" s="44">
        <f>PMT(D35/12,$D$14,(D31-D32)*-1,D34,1)</f>
        <v>12396.615409230722</v>
      </c>
      <c r="E37"/>
      <c r="Y37"/>
      <c r="Z37"/>
      <c r="AA37"/>
      <c r="AB37"/>
      <c r="AC37"/>
      <c r="AD37"/>
      <c r="AE37"/>
      <c r="AF37"/>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s="103"/>
      <c r="Y39"/>
      <c r="Z39"/>
      <c r="AA39"/>
      <c r="AB39"/>
      <c r="AC39"/>
      <c r="AD39"/>
      <c r="AE39"/>
      <c r="AF39"/>
    </row>
    <row r="40" spans="2:32" s="29" customFormat="1" x14ac:dyDescent="0.3">
      <c r="B40" s="87" t="s">
        <v>27</v>
      </c>
      <c r="C40" s="87"/>
      <c r="D40" s="87"/>
      <c r="E40"/>
      <c r="H40" s="30" t="s">
        <v>130</v>
      </c>
      <c r="I40" s="30" t="s">
        <v>27</v>
      </c>
      <c r="J40" s="3" t="s">
        <v>225</v>
      </c>
      <c r="Y40"/>
      <c r="Z40"/>
      <c r="AA40"/>
      <c r="AB40"/>
      <c r="AC40"/>
      <c r="AD40"/>
      <c r="AE40"/>
      <c r="AF40"/>
    </row>
    <row r="41" spans="2:32" s="29" customFormat="1" x14ac:dyDescent="0.3">
      <c r="B41" s="8" t="s">
        <v>136</v>
      </c>
      <c r="C41" s="160">
        <f>Virksomhedssetup!D40</f>
        <v>50</v>
      </c>
      <c r="D41" s="70"/>
      <c r="E41"/>
      <c r="F41" s="295" t="s">
        <v>31</v>
      </c>
      <c r="G41" s="30" t="s">
        <v>14</v>
      </c>
      <c r="H41" s="31">
        <f>(C37)/D13</f>
        <v>4.3118662292976424</v>
      </c>
      <c r="I41" s="31">
        <f>C46/D13</f>
        <v>0.34499999999999997</v>
      </c>
      <c r="J41" s="36">
        <f>C56/$D$13</f>
        <v>4</v>
      </c>
      <c r="Y41"/>
      <c r="Z41"/>
      <c r="AA41"/>
      <c r="AB41"/>
      <c r="AC41"/>
      <c r="AD41"/>
      <c r="AE41"/>
      <c r="AF41"/>
    </row>
    <row r="42" spans="2:32" s="29" customFormat="1" x14ac:dyDescent="0.3">
      <c r="B42" s="8" t="s">
        <v>132</v>
      </c>
      <c r="C42" s="149">
        <f>Virksomhedssetup!D41</f>
        <v>150000</v>
      </c>
      <c r="D42" s="70"/>
      <c r="E42"/>
      <c r="F42" s="295"/>
      <c r="G42" s="30" t="s">
        <v>15</v>
      </c>
      <c r="H42" s="31">
        <f>D37/D13</f>
        <v>1.6528820545640963</v>
      </c>
      <c r="I42" s="31">
        <v>0</v>
      </c>
      <c r="J42">
        <f>D56/$D$13</f>
        <v>4</v>
      </c>
      <c r="Y42"/>
      <c r="Z42"/>
      <c r="AA42"/>
      <c r="AB42"/>
      <c r="AC42"/>
      <c r="AD42"/>
      <c r="AE42"/>
      <c r="AF42"/>
    </row>
    <row r="43" spans="2:32" s="29" customFormat="1" x14ac:dyDescent="0.3">
      <c r="B43" s="11" t="s">
        <v>131</v>
      </c>
      <c r="C43" s="160">
        <f>Virksomhedssetup!D42</f>
        <v>80</v>
      </c>
      <c r="D43" s="70"/>
      <c r="E43"/>
      <c r="F43" s="295"/>
      <c r="G43" s="30"/>
      <c r="H43" s="31"/>
      <c r="I43" s="31"/>
      <c r="J43"/>
      <c r="Y43"/>
      <c r="Z43"/>
      <c r="AA43"/>
      <c r="AB43"/>
      <c r="AC43"/>
      <c r="AD43"/>
      <c r="AE43"/>
      <c r="AF43"/>
    </row>
    <row r="44" spans="2:32" s="29" customFormat="1" x14ac:dyDescent="0.3">
      <c r="B44" s="80" t="s">
        <v>133</v>
      </c>
      <c r="C44" s="47">
        <f>(C43-25)*1200+16400</f>
        <v>82400</v>
      </c>
      <c r="D44" s="70"/>
      <c r="E44"/>
      <c r="F44" s="30" t="s">
        <v>24</v>
      </c>
      <c r="G44" s="30" t="s">
        <v>25</v>
      </c>
      <c r="H44" s="30" t="s">
        <v>22</v>
      </c>
      <c r="I44" s="30" t="s">
        <v>21</v>
      </c>
      <c r="Y44"/>
      <c r="Z44"/>
      <c r="AA44"/>
      <c r="AB44"/>
      <c r="AC44"/>
      <c r="AD44"/>
      <c r="AE44"/>
      <c r="AF44"/>
    </row>
    <row r="45" spans="2:32" s="29" customFormat="1" x14ac:dyDescent="0.3">
      <c r="B45" s="11" t="s">
        <v>178</v>
      </c>
      <c r="C45" s="149">
        <f>Virksomhedssetup!D44</f>
        <v>16000</v>
      </c>
      <c r="D45" s="70"/>
      <c r="E45"/>
      <c r="F45" s="31">
        <f>C66/D13</f>
        <v>1.3952430555555555</v>
      </c>
      <c r="G45" s="31">
        <f>C75/D13</f>
        <v>1.3414666666666666</v>
      </c>
      <c r="H45" s="31">
        <f>Afgifter!G77</f>
        <v>0.36118409194769513</v>
      </c>
      <c r="I45" s="29">
        <v>1E-14</v>
      </c>
      <c r="J45" s="32" t="str">
        <f>"Total "&amp;ROUND(H41+I41+F45+G45+H45+J41,2)</f>
        <v>Total 11,75</v>
      </c>
      <c r="Y45"/>
      <c r="Z45"/>
      <c r="AA45"/>
      <c r="AB45"/>
      <c r="AC45"/>
      <c r="AD45"/>
      <c r="AE45"/>
      <c r="AF45"/>
    </row>
    <row r="46" spans="2:32" s="29" customFormat="1" x14ac:dyDescent="0.3">
      <c r="B46" s="9" t="s">
        <v>169</v>
      </c>
      <c r="C46" s="18">
        <f>C47/12</f>
        <v>2587.5</v>
      </c>
      <c r="D46" s="18">
        <v>0</v>
      </c>
      <c r="E46"/>
      <c r="F46" s="31">
        <f>D66/D13</f>
        <v>3.3932000000000002</v>
      </c>
      <c r="G46" s="31">
        <f>D75/D13</f>
        <v>0.88906666666666667</v>
      </c>
      <c r="H46" s="31">
        <f>Afgifter!G78</f>
        <v>1.5852582096603602</v>
      </c>
      <c r="I46" s="29">
        <v>1E-14</v>
      </c>
      <c r="J46" s="32" t="str">
        <f>"Total "&amp;ROUND(H42+I42+F46+G46+H46+J42,2)</f>
        <v>Total 11,52</v>
      </c>
      <c r="Y46"/>
      <c r="Z46"/>
      <c r="AA46"/>
      <c r="AB46"/>
      <c r="AC46"/>
      <c r="AD46"/>
      <c r="AE46"/>
      <c r="AF46"/>
    </row>
    <row r="47" spans="2:32" s="29" customFormat="1" x14ac:dyDescent="0.3">
      <c r="B47" s="9" t="s">
        <v>170</v>
      </c>
      <c r="C47" s="18">
        <f>C48/D12</f>
        <v>31050</v>
      </c>
      <c r="D47" s="18">
        <v>0</v>
      </c>
      <c r="E47" s="41"/>
      <c r="F47"/>
      <c r="G47"/>
      <c r="H47"/>
      <c r="I47"/>
      <c r="J47"/>
      <c r="Y47"/>
      <c r="Z47"/>
      <c r="AA47"/>
      <c r="AB47"/>
      <c r="AC47"/>
      <c r="AD47"/>
      <c r="AE47"/>
      <c r="AF47"/>
    </row>
    <row r="48" spans="2:32" s="29" customFormat="1" x14ac:dyDescent="0.3">
      <c r="B48" s="9" t="s">
        <v>179</v>
      </c>
      <c r="C48" s="18">
        <f>C42+C44+C45</f>
        <v>248400</v>
      </c>
      <c r="D48" s="18">
        <v>0</v>
      </c>
      <c r="E48" s="41"/>
      <c r="F48"/>
      <c r="G48"/>
      <c r="H48"/>
      <c r="I48"/>
      <c r="J48"/>
      <c r="Y48"/>
      <c r="Z48"/>
      <c r="AA48"/>
      <c r="AB48"/>
      <c r="AC48"/>
      <c r="AD48"/>
      <c r="AE48"/>
      <c r="AF48"/>
    </row>
    <row r="49" spans="2:32" s="29" customFormat="1" x14ac:dyDescent="0.3">
      <c r="B49" s="28" t="s">
        <v>9</v>
      </c>
      <c r="C49" s="28"/>
      <c r="D49" s="28"/>
      <c r="E49" s="41"/>
      <c r="F49"/>
      <c r="G49"/>
      <c r="H49"/>
      <c r="I49"/>
      <c r="J49"/>
      <c r="Y49"/>
      <c r="Z49"/>
      <c r="AA49"/>
      <c r="AB49"/>
      <c r="AC49"/>
      <c r="AD49"/>
      <c r="AE49"/>
      <c r="AF49"/>
    </row>
    <row r="50" spans="2:32" s="29" customFormat="1" x14ac:dyDescent="0.3">
      <c r="B50" s="87" t="s">
        <v>126</v>
      </c>
      <c r="C50" s="87"/>
      <c r="D50" s="87"/>
      <c r="E50" s="41"/>
      <c r="Y50"/>
      <c r="Z50"/>
      <c r="AA50"/>
      <c r="AB50"/>
      <c r="AC50"/>
      <c r="AD50"/>
      <c r="AE50"/>
      <c r="AF50"/>
    </row>
    <row r="51" spans="2:32" s="29" customFormat="1" x14ac:dyDescent="0.3">
      <c r="B51" s="8" t="s">
        <v>127</v>
      </c>
      <c r="C51" s="149">
        <f>Virksomhedssetup!D47</f>
        <v>30000</v>
      </c>
      <c r="D51" s="149">
        <f>Virksomhedssetup!E47</f>
        <v>30000</v>
      </c>
      <c r="E51" s="41"/>
      <c r="Y51"/>
      <c r="Z51"/>
      <c r="AA51"/>
      <c r="AB51"/>
      <c r="AC51"/>
      <c r="AD51"/>
      <c r="AE51"/>
      <c r="AF51"/>
    </row>
    <row r="52" spans="2:32" s="29" customFormat="1" x14ac:dyDescent="0.3">
      <c r="B52" s="8" t="s">
        <v>137</v>
      </c>
      <c r="C52" s="150">
        <f>Virksomhedssetup!D48</f>
        <v>9</v>
      </c>
      <c r="D52" s="150">
        <f>Virksomhedssetup!E48</f>
        <v>9</v>
      </c>
      <c r="E52" s="41"/>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 t="shared" ref="D57" si="1">D56*12</f>
        <v>360000</v>
      </c>
      <c r="E57" s="41"/>
      <c r="Y57"/>
      <c r="Z57"/>
      <c r="AA57"/>
      <c r="AB57"/>
      <c r="AC57"/>
      <c r="AD57"/>
      <c r="AE57"/>
      <c r="AF57"/>
    </row>
    <row r="58" spans="2:32" s="29" customFormat="1" x14ac:dyDescent="0.3">
      <c r="B58" s="9" t="s">
        <v>173</v>
      </c>
      <c r="C58" s="18">
        <f>C57*$D$12</f>
        <v>2880000</v>
      </c>
      <c r="D58" s="18">
        <f>D57*$D$12</f>
        <v>2880000</v>
      </c>
      <c r="E58" s="41"/>
      <c r="H58"/>
      <c r="I58"/>
      <c r="J58"/>
      <c r="Y58"/>
      <c r="Z58"/>
      <c r="AA58"/>
      <c r="AB58"/>
      <c r="AC58"/>
      <c r="AD58"/>
      <c r="AE58"/>
      <c r="AF58"/>
    </row>
    <row r="59" spans="2:32" s="29" customFormat="1" x14ac:dyDescent="0.3">
      <c r="B59" s="87" t="s">
        <v>24</v>
      </c>
      <c r="C59" s="87"/>
      <c r="D59" s="87"/>
      <c r="E59" s="41"/>
      <c r="H59"/>
      <c r="I59"/>
      <c r="J59"/>
      <c r="Y59"/>
      <c r="Z59"/>
      <c r="AA59"/>
      <c r="AB59"/>
      <c r="AC59"/>
      <c r="AD59"/>
      <c r="AE59"/>
      <c r="AF59"/>
    </row>
    <row r="60" spans="2:32" s="29" customFormat="1" x14ac:dyDescent="0.3">
      <c r="B60" s="8" t="s">
        <v>208</v>
      </c>
      <c r="C60" s="153">
        <f>Virksomhedssetup!D53</f>
        <v>1.0732638888888888</v>
      </c>
      <c r="D60" s="153">
        <f>Virksomhedssetup!E53</f>
        <v>11.4</v>
      </c>
      <c r="E60" s="41"/>
      <c r="H60" s="30"/>
      <c r="I60" s="30"/>
      <c r="J60" s="30"/>
      <c r="Y60"/>
      <c r="Z60"/>
      <c r="AA60"/>
      <c r="AB60"/>
      <c r="AC60"/>
      <c r="AD60"/>
      <c r="AE60"/>
      <c r="AF60"/>
    </row>
    <row r="61" spans="2:32" s="29" customFormat="1" x14ac:dyDescent="0.3">
      <c r="B61" s="8" t="s">
        <v>45</v>
      </c>
      <c r="C61" s="17"/>
      <c r="D61" s="153">
        <f>Virksomhedssetup!E54</f>
        <v>0.11</v>
      </c>
      <c r="E61" s="41"/>
      <c r="H61" s="30"/>
      <c r="I61" s="30"/>
      <c r="J61" s="30"/>
      <c r="Y61"/>
      <c r="Z61"/>
      <c r="AA61"/>
      <c r="AB61"/>
      <c r="AC61"/>
      <c r="AD61"/>
      <c r="AE61"/>
      <c r="AF61"/>
    </row>
    <row r="62" spans="2:32" s="29" customFormat="1" x14ac:dyDescent="0.3">
      <c r="B62" s="5" t="s">
        <v>75</v>
      </c>
      <c r="C62" s="47">
        <f>(((D11/12)/100)*C63)*($C$22*C60)</f>
        <v>10464.322916666666</v>
      </c>
      <c r="D62" s="17"/>
      <c r="E62" s="41"/>
      <c r="H62" s="30"/>
      <c r="I62" s="30"/>
      <c r="J62" s="30"/>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Y68"/>
      <c r="Z68"/>
      <c r="AA68"/>
      <c r="AB68"/>
      <c r="AC68"/>
      <c r="AD68"/>
      <c r="AE68"/>
      <c r="AF68"/>
    </row>
    <row r="69" spans="2:32" s="29" customFormat="1" x14ac:dyDescent="0.3">
      <c r="B69" s="87" t="s">
        <v>25</v>
      </c>
      <c r="C69" s="87"/>
      <c r="D69" s="87"/>
      <c r="E69" s="41"/>
      <c r="Y69"/>
      <c r="Z69"/>
      <c r="AA69"/>
      <c r="AB69"/>
      <c r="AC69"/>
      <c r="AD69"/>
      <c r="AE69"/>
      <c r="AF69"/>
    </row>
    <row r="70" spans="2:32" s="29" customFormat="1" x14ac:dyDescent="0.3">
      <c r="B70" s="8" t="s">
        <v>88</v>
      </c>
      <c r="C70" s="149">
        <f>Virksomhedssetup!D61</f>
        <v>7685</v>
      </c>
      <c r="D70" s="149">
        <f>Virksomhedssetup!E61</f>
        <v>5000</v>
      </c>
      <c r="E70" s="82"/>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41"/>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F75"/>
      <c r="G75"/>
      <c r="H75"/>
      <c r="I75"/>
      <c r="J75"/>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F77" s="41"/>
      <c r="G77" s="41"/>
      <c r="H77" s="41"/>
      <c r="I77" s="41"/>
      <c r="J77" s="41"/>
      <c r="Y77"/>
      <c r="Z77"/>
      <c r="AA77"/>
      <c r="AB77"/>
      <c r="AC77"/>
      <c r="AD77"/>
      <c r="AE77"/>
      <c r="AF77"/>
    </row>
    <row r="78" spans="2:32" s="29" customFormat="1" x14ac:dyDescent="0.3">
      <c r="B78" s="249" t="s">
        <v>175</v>
      </c>
      <c r="C78" s="249"/>
      <c r="D78" s="249"/>
      <c r="E78" s="41"/>
      <c r="F78" s="41"/>
      <c r="G78" s="41"/>
      <c r="H78" s="41"/>
      <c r="I78" s="41"/>
      <c r="J78" s="41"/>
      <c r="Y78"/>
      <c r="Z78"/>
      <c r="AA78"/>
      <c r="AB78"/>
      <c r="AC78"/>
      <c r="AD78"/>
      <c r="AE78"/>
      <c r="AF78"/>
    </row>
    <row r="79" spans="2:32" s="29" customFormat="1" x14ac:dyDescent="0.3">
      <c r="B79" s="8" t="s">
        <v>240</v>
      </c>
      <c r="C79" s="149">
        <f>Virksomhedssetup!D67</f>
        <v>29</v>
      </c>
      <c r="D79" s="149">
        <f>Virksomhedssetup!E67</f>
        <v>29</v>
      </c>
      <c r="E79" s="41"/>
      <c r="F79" s="41"/>
      <c r="G79" s="41"/>
      <c r="H79" s="41"/>
      <c r="I79" s="41"/>
      <c r="J79" s="41"/>
      <c r="Y79"/>
      <c r="Z79"/>
      <c r="AA79"/>
      <c r="AB79"/>
      <c r="AC79"/>
      <c r="AD79"/>
      <c r="AE79"/>
      <c r="AF79"/>
    </row>
    <row r="80" spans="2:32" s="29" customFormat="1" x14ac:dyDescent="0.3">
      <c r="B80" s="8" t="s">
        <v>242</v>
      </c>
      <c r="C80" s="156">
        <f>Virksomhedssetup!D68</f>
        <v>1.4999999999999999E-2</v>
      </c>
      <c r="D80" s="156">
        <f>Virksomhedssetup!E68</f>
        <v>1.4999999999999999E-2</v>
      </c>
      <c r="E80" s="41"/>
      <c r="F80" s="41"/>
      <c r="G80" s="41"/>
      <c r="H80" s="41"/>
      <c r="I80" s="41"/>
      <c r="J80" s="41"/>
      <c r="Y80"/>
      <c r="Z80"/>
      <c r="AA80"/>
      <c r="AB80"/>
      <c r="AC80"/>
      <c r="AD80"/>
      <c r="AE80"/>
      <c r="AF80"/>
    </row>
    <row r="81" spans="2:32" s="29" customFormat="1" x14ac:dyDescent="0.3">
      <c r="B81" s="5" t="s">
        <v>241</v>
      </c>
      <c r="C81" s="45">
        <f>((H41+I41+J41+F45+G45)*C80)*D13</f>
        <v>1281.7772945459847</v>
      </c>
      <c r="D81" s="45">
        <f>((H42+I42+J42+F46+G46)*D80)*D13</f>
        <v>1117.7042311384607</v>
      </c>
      <c r="E81" s="41"/>
      <c r="F81" s="41"/>
      <c r="G81" s="41"/>
      <c r="H81" s="41"/>
      <c r="I81" s="41"/>
      <c r="J81" s="41"/>
      <c r="Y81"/>
      <c r="Z81"/>
      <c r="AA81"/>
      <c r="AB81"/>
      <c r="AC81"/>
      <c r="AD81"/>
      <c r="AE81"/>
      <c r="AF81"/>
    </row>
    <row r="82" spans="2:32" s="29" customFormat="1" ht="16.2" x14ac:dyDescent="0.45">
      <c r="B82" s="9" t="s">
        <v>47</v>
      </c>
      <c r="C82" s="40">
        <f>C81+C79</f>
        <v>1310.7772945459847</v>
      </c>
      <c r="D82" s="40">
        <f>D81+D79</f>
        <v>1146.7042311384607</v>
      </c>
      <c r="E82" s="41"/>
      <c r="F82" s="41"/>
      <c r="G82" s="41"/>
      <c r="H82" s="41"/>
      <c r="I82" s="41"/>
      <c r="J82" s="41"/>
      <c r="Y82"/>
      <c r="Z82"/>
      <c r="AA82"/>
      <c r="AB82"/>
      <c r="AC82"/>
      <c r="AD82"/>
      <c r="AE82"/>
      <c r="AF82"/>
    </row>
    <row r="83" spans="2:32" s="29" customFormat="1" ht="16.2" x14ac:dyDescent="0.45">
      <c r="B83" s="9" t="s">
        <v>48</v>
      </c>
      <c r="C83" s="40">
        <f>C82*12</f>
        <v>15729.327534551816</v>
      </c>
      <c r="D83" s="40">
        <f>D82*12</f>
        <v>13760.450773661529</v>
      </c>
      <c r="E83" s="41"/>
      <c r="F83" s="41"/>
      <c r="G83" s="41"/>
      <c r="H83" s="41"/>
      <c r="I83" s="41"/>
      <c r="J83" s="41"/>
      <c r="Y83"/>
      <c r="Z83"/>
      <c r="AA83"/>
      <c r="AB83"/>
      <c r="AC83"/>
      <c r="AD83"/>
      <c r="AE83"/>
      <c r="AF83"/>
    </row>
    <row r="84" spans="2:32" s="29" customFormat="1" ht="16.2" x14ac:dyDescent="0.45">
      <c r="B84" s="9" t="s">
        <v>79</v>
      </c>
      <c r="C84" s="40">
        <f>C83*$D$12</f>
        <v>125834.62027641453</v>
      </c>
      <c r="D84" s="40">
        <f>D83*$D$12</f>
        <v>110083.60618929223</v>
      </c>
      <c r="E84"/>
      <c r="F84"/>
      <c r="G84"/>
      <c r="H84"/>
      <c r="I84"/>
      <c r="J84"/>
      <c r="Y84"/>
      <c r="Z84"/>
      <c r="AA84"/>
      <c r="AB84"/>
      <c r="AC84"/>
      <c r="AD84"/>
      <c r="AE84"/>
      <c r="AF84"/>
    </row>
    <row r="85" spans="2:32" s="29" customFormat="1" x14ac:dyDescent="0.3">
      <c r="B85" s="297" t="s">
        <v>33</v>
      </c>
      <c r="C85" s="297"/>
      <c r="D85" s="297"/>
      <c r="E85"/>
      <c r="F85"/>
      <c r="G85"/>
      <c r="H85"/>
      <c r="I85"/>
      <c r="J85"/>
      <c r="Y85"/>
      <c r="Z85"/>
      <c r="AA85"/>
      <c r="AB85"/>
      <c r="AC85"/>
      <c r="AD85"/>
      <c r="AE85"/>
      <c r="AF85"/>
    </row>
    <row r="86" spans="2:32" s="29" customFormat="1" x14ac:dyDescent="0.3">
      <c r="B86" s="9" t="s">
        <v>49</v>
      </c>
      <c r="C86" s="18">
        <f t="shared" ref="C86:D88" si="2">C37+C46+C56+C66+C75+C82</f>
        <v>86762.596930944972</v>
      </c>
      <c r="D86" s="18">
        <f t="shared" si="2"/>
        <v>75660.319640369184</v>
      </c>
      <c r="E86"/>
      <c r="F86"/>
      <c r="G86"/>
      <c r="H86"/>
      <c r="I86"/>
      <c r="J86"/>
      <c r="Y86"/>
      <c r="Z86"/>
      <c r="AA86"/>
      <c r="AB86"/>
      <c r="AC86"/>
      <c r="AD86"/>
      <c r="AE86"/>
      <c r="AF86"/>
    </row>
    <row r="87" spans="2:32" s="29" customFormat="1" x14ac:dyDescent="0.3">
      <c r="B87" s="9" t="s">
        <v>50</v>
      </c>
      <c r="C87" s="18">
        <f t="shared" si="2"/>
        <v>1041151.1631713397</v>
      </c>
      <c r="D87" s="18">
        <f t="shared" si="2"/>
        <v>907923.83568443009</v>
      </c>
      <c r="E87"/>
      <c r="F87"/>
      <c r="G87"/>
      <c r="H87"/>
      <c r="I87"/>
      <c r="J87"/>
      <c r="Y87"/>
      <c r="Z87"/>
      <c r="AA87"/>
      <c r="AB87"/>
      <c r="AC87"/>
      <c r="AD87"/>
      <c r="AE87"/>
      <c r="AF87"/>
    </row>
    <row r="88" spans="2:32" x14ac:dyDescent="0.3">
      <c r="B88" s="9" t="s">
        <v>69</v>
      </c>
      <c r="C88" s="18">
        <f t="shared" si="2"/>
        <v>8329209.3053707173</v>
      </c>
      <c r="D88" s="18">
        <f t="shared" si="2"/>
        <v>7263390.6854754407</v>
      </c>
    </row>
    <row r="96" spans="2:32" x14ac:dyDescent="0.3">
      <c r="AF96" s="29"/>
    </row>
    <row r="106" spans="5:6" x14ac:dyDescent="0.3">
      <c r="E106" s="36"/>
    </row>
    <row r="109" spans="5:6" x14ac:dyDescent="0.3">
      <c r="F109" s="10"/>
    </row>
  </sheetData>
  <sheetProtection sheet="1" objects="1" scenarios="1" selectLockedCells="1"/>
  <mergeCells count="36">
    <mergeCell ref="B16:C16"/>
    <mergeCell ref="B8:C8"/>
    <mergeCell ref="B85:D85"/>
    <mergeCell ref="G9:H9"/>
    <mergeCell ref="B78:D78"/>
    <mergeCell ref="F41:F43"/>
    <mergeCell ref="P2:S2"/>
    <mergeCell ref="B13:C13"/>
    <mergeCell ref="B14:C14"/>
    <mergeCell ref="B15:C15"/>
    <mergeCell ref="P11:S11"/>
    <mergeCell ref="P12:S12"/>
    <mergeCell ref="P13:R13"/>
    <mergeCell ref="P14:R14"/>
    <mergeCell ref="P15:R15"/>
    <mergeCell ref="P6:R6"/>
    <mergeCell ref="P7:R7"/>
    <mergeCell ref="P8:R8"/>
    <mergeCell ref="B11:C11"/>
    <mergeCell ref="B12:C12"/>
    <mergeCell ref="B6:C6"/>
    <mergeCell ref="B7:C7"/>
    <mergeCell ref="B2:D2"/>
    <mergeCell ref="B4:D4"/>
    <mergeCell ref="B5:C5"/>
    <mergeCell ref="F2:I2"/>
    <mergeCell ref="F3:I3"/>
    <mergeCell ref="P16:R16"/>
    <mergeCell ref="P3:R3"/>
    <mergeCell ref="P5:R5"/>
    <mergeCell ref="G10:H10"/>
    <mergeCell ref="P4:S4"/>
    <mergeCell ref="G7:H7"/>
    <mergeCell ref="G8:H8"/>
    <mergeCell ref="F5:I5"/>
    <mergeCell ref="G6:H6"/>
  </mergeCells>
  <conditionalFormatting sqref="G10 I10">
    <cfRule type="colorScale" priority="4">
      <colorScale>
        <cfvo type="min"/>
        <cfvo type="percentile" val="50"/>
        <cfvo type="max"/>
        <color rgb="FF63BE7B"/>
        <color rgb="FFFFEB84"/>
        <color rgb="FFF8696B"/>
      </colorScale>
    </cfRule>
  </conditionalFormatting>
  <conditionalFormatting sqref="G7:I7">
    <cfRule type="colorScale" priority="3">
      <colorScale>
        <cfvo type="min"/>
        <cfvo type="percentile" val="50"/>
        <cfvo type="max"/>
        <color rgb="FF63BE7B"/>
        <color rgb="FFFFEB84"/>
        <color rgb="FFF8696B"/>
      </colorScale>
    </cfRule>
  </conditionalFormatting>
  <conditionalFormatting sqref="G8:I8">
    <cfRule type="colorScale" priority="2">
      <colorScale>
        <cfvo type="min"/>
        <cfvo type="percentile" val="50"/>
        <cfvo type="max"/>
        <color rgb="FF63BE7B"/>
        <color rgb="FFFFEB84"/>
        <color rgb="FFF8696B"/>
      </colorScale>
    </cfRule>
  </conditionalFormatting>
  <conditionalFormatting sqref="G9:I9">
    <cfRule type="colorScale" priority="1">
      <colorScale>
        <cfvo type="min"/>
        <cfvo type="percentile" val="50"/>
        <cfvo type="max"/>
        <color rgb="FF63BE7B"/>
        <color rgb="FFFFEB84"/>
        <color rgb="FFF8696B"/>
      </colorScale>
    </cfRule>
  </conditionalFormatting>
  <conditionalFormatting sqref="S5">
    <cfRule type="colorScale" priority="37">
      <colorScale>
        <cfvo type="min"/>
        <cfvo type="num" val="0"/>
        <cfvo type="max"/>
        <color rgb="FFFF0000"/>
        <color theme="0"/>
        <color rgb="FF00B050"/>
      </colorScale>
    </cfRule>
    <cfRule type="colorScale" priority="39">
      <colorScale>
        <cfvo type="min"/>
        <cfvo type="num" val="0"/>
        <cfvo type="max"/>
        <color rgb="FFFF0000"/>
        <color rgb="FFFFEB84"/>
        <color rgb="FF00B050"/>
      </colorScale>
    </cfRule>
    <cfRule type="colorScale" priority="40">
      <colorScale>
        <cfvo type="min"/>
        <cfvo type="num" val="0"/>
        <cfvo type="max"/>
        <color rgb="FFFF0000"/>
        <color theme="0"/>
        <color rgb="FF00B050"/>
      </colorScale>
    </cfRule>
  </conditionalFormatting>
  <conditionalFormatting sqref="S6:S8">
    <cfRule type="colorScale" priority="43">
      <colorScale>
        <cfvo type="num" val="-1"/>
        <cfvo type="num" val="0"/>
        <cfvo type="num" val="1"/>
        <color rgb="FFFF0000"/>
        <color rgb="FFFFFF00"/>
        <color rgb="FF00B050"/>
      </colorScale>
    </cfRule>
    <cfRule type="colorScale" priority="44">
      <colorScale>
        <cfvo type="min"/>
        <cfvo type="num" val="0"/>
        <cfvo type="max"/>
        <color rgb="FFFF0000"/>
        <color rgb="FFFFFF00"/>
        <color rgb="FF00B050"/>
      </colorScale>
    </cfRule>
  </conditionalFormatting>
  <hyperlinks>
    <hyperlink ref="F3" r:id="rId1" display="Har du spørgsmål til beregningen kan du henvende dig til lucas.perkild@regionh.dk" xr:uid="{AD0CF929-26CF-4E21-834A-7A14C9A7533F}"/>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D2EB-96E9-4C8D-B1A3-29E8CBDBF6F8}">
  <sheetPr codeName="Sheet14">
    <tabColor rgb="FFFFC000"/>
  </sheetPr>
  <dimension ref="B2:AF109"/>
  <sheetViews>
    <sheetView showGridLines="0" zoomScaleNormal="100" workbookViewId="0">
      <selection activeCell="C20" sqref="C20"/>
    </sheetView>
  </sheetViews>
  <sheetFormatPr defaultColWidth="8.88671875" defaultRowHeight="14.4" x14ac:dyDescent="0.3"/>
  <cols>
    <col min="1" max="1" width="1.5546875"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19" ht="25.8" x14ac:dyDescent="0.5">
      <c r="B2" s="279" t="s">
        <v>93</v>
      </c>
      <c r="C2" s="280"/>
      <c r="D2" s="281"/>
      <c r="E2" s="6"/>
      <c r="F2" s="237" t="s">
        <v>6</v>
      </c>
      <c r="G2" s="237"/>
      <c r="H2" s="237"/>
      <c r="I2" s="237"/>
      <c r="P2" s="234" t="s">
        <v>80</v>
      </c>
      <c r="Q2" s="234"/>
      <c r="R2" s="234"/>
      <c r="S2" s="234"/>
    </row>
    <row r="3" spans="2:19" x14ac:dyDescent="0.3">
      <c r="F3" s="282" t="s">
        <v>176</v>
      </c>
      <c r="G3" s="282"/>
      <c r="H3" s="282"/>
      <c r="I3" s="282"/>
      <c r="P3" s="234" t="s">
        <v>19</v>
      </c>
      <c r="Q3" s="234"/>
      <c r="R3" s="234"/>
      <c r="S3" s="28" t="s">
        <v>81</v>
      </c>
    </row>
    <row r="4" spans="2:19" ht="18" x14ac:dyDescent="0.35">
      <c r="B4" s="283" t="s">
        <v>3</v>
      </c>
      <c r="C4" s="284"/>
      <c r="D4" s="285"/>
      <c r="P4" s="286" t="s">
        <v>87</v>
      </c>
      <c r="Q4" s="286"/>
      <c r="R4" s="286"/>
      <c r="S4" s="286"/>
    </row>
    <row r="5" spans="2:19" x14ac:dyDescent="0.3">
      <c r="B5" s="276" t="s">
        <v>68</v>
      </c>
      <c r="C5" s="278"/>
      <c r="D5" s="2"/>
      <c r="F5" s="244" t="s">
        <v>237</v>
      </c>
      <c r="G5" s="245"/>
      <c r="H5" s="245"/>
      <c r="I5" s="246"/>
      <c r="P5" s="287" t="s">
        <v>67</v>
      </c>
      <c r="Q5" s="287"/>
      <c r="R5" s="287"/>
      <c r="S5" s="58">
        <f>(H42+I42+F46+G46+H46)-(H41+I41+F45+G45+H45)</f>
        <v>-0.12350363874343806</v>
      </c>
    </row>
    <row r="6" spans="2:19" ht="16.2" x14ac:dyDescent="0.45">
      <c r="B6" s="276" t="s">
        <v>4</v>
      </c>
      <c r="C6" s="278"/>
      <c r="D6" s="4"/>
      <c r="F6" s="20"/>
      <c r="G6" s="244" t="s">
        <v>114</v>
      </c>
      <c r="H6" s="246"/>
      <c r="I6" s="28" t="s">
        <v>15</v>
      </c>
      <c r="P6" s="287" t="s">
        <v>49</v>
      </c>
      <c r="Q6" s="287"/>
      <c r="R6" s="287"/>
      <c r="S6" s="43">
        <f>$D$86-$C$86</f>
        <v>-11102.277290575788</v>
      </c>
    </row>
    <row r="7" spans="2:19" ht="16.2" x14ac:dyDescent="0.45">
      <c r="B7" s="276" t="s">
        <v>5</v>
      </c>
      <c r="C7" s="278"/>
      <c r="D7" s="8"/>
      <c r="E7" s="3"/>
      <c r="F7" s="94" t="s">
        <v>30</v>
      </c>
      <c r="G7" s="305">
        <f>(H41+I41+J41+F45+G45+H45)</f>
        <v>11.829646257459329</v>
      </c>
      <c r="H7" s="306"/>
      <c r="I7" s="104">
        <f>(H42+I42+J42+F46+G46+H46)</f>
        <v>11.706142618715891</v>
      </c>
      <c r="P7" s="287" t="s">
        <v>50</v>
      </c>
      <c r="Q7" s="287"/>
      <c r="R7" s="287"/>
      <c r="S7" s="43">
        <f>$D$87-$C$87</f>
        <v>-133227.32748690958</v>
      </c>
    </row>
    <row r="8" spans="2:19" ht="16.2" x14ac:dyDescent="0.45">
      <c r="B8" s="276" t="s">
        <v>23</v>
      </c>
      <c r="C8" s="278"/>
      <c r="D8" s="5"/>
      <c r="E8" s="7"/>
      <c r="F8" s="94" t="s">
        <v>236</v>
      </c>
      <c r="G8" s="305">
        <f>H45</f>
        <v>0.43607030593946461</v>
      </c>
      <c r="H8" s="306"/>
      <c r="I8" s="104">
        <f>H46</f>
        <v>1.7709938974851283</v>
      </c>
      <c r="P8" s="287" t="s">
        <v>69</v>
      </c>
      <c r="Q8" s="287"/>
      <c r="R8" s="287"/>
      <c r="S8" s="43">
        <f>$D$88-$C$88</f>
        <v>-1065818.6198952766</v>
      </c>
    </row>
    <row r="9" spans="2:19" x14ac:dyDescent="0.3">
      <c r="F9" s="94" t="s">
        <v>223</v>
      </c>
      <c r="G9" s="307">
        <f>(G8/G7)*100</f>
        <v>3.6862497529416416</v>
      </c>
      <c r="H9" s="308"/>
      <c r="I9" s="133">
        <f>(I8/I7)*100</f>
        <v>15.12875722745464</v>
      </c>
      <c r="P9"/>
      <c r="Q9"/>
      <c r="R9"/>
      <c r="S9"/>
    </row>
    <row r="10" spans="2:19" x14ac:dyDescent="0.3">
      <c r="F10" s="94" t="s">
        <v>232</v>
      </c>
      <c r="G10" s="300">
        <f>H45/((H41+I41+J41+F45+G45))*100</f>
        <v>3.8273348753276566</v>
      </c>
      <c r="H10" s="301"/>
      <c r="I10" s="133">
        <f>H46/(H42+I42+J42+F46+G46)*100</f>
        <v>17.825539880451213</v>
      </c>
      <c r="P10"/>
      <c r="Q10"/>
      <c r="R10"/>
      <c r="S10"/>
    </row>
    <row r="11" spans="2:19" x14ac:dyDescent="0.3">
      <c r="B11" s="298" t="s">
        <v>10</v>
      </c>
      <c r="C11" s="299"/>
      <c r="D11" s="69">
        <f>Virksomhedssetup!E10</f>
        <v>90000</v>
      </c>
      <c r="P11" s="312" t="s">
        <v>20</v>
      </c>
      <c r="Q11" s="313"/>
      <c r="R11" s="313"/>
      <c r="S11" s="314"/>
    </row>
    <row r="12" spans="2:19" x14ac:dyDescent="0.3">
      <c r="B12" s="298" t="s">
        <v>71</v>
      </c>
      <c r="C12" s="299"/>
      <c r="D12" s="69">
        <f>Virksomhedssetup!E11</f>
        <v>8</v>
      </c>
      <c r="P12" s="309" t="s">
        <v>82</v>
      </c>
      <c r="Q12" s="310"/>
      <c r="R12" s="310"/>
      <c r="S12" s="311"/>
    </row>
    <row r="13" spans="2:19" x14ac:dyDescent="0.3">
      <c r="B13" s="298" t="s">
        <v>128</v>
      </c>
      <c r="C13" s="299"/>
      <c r="D13" s="69">
        <f>Virksomhedssetup!E12</f>
        <v>7500</v>
      </c>
      <c r="P13" s="199" t="s">
        <v>83</v>
      </c>
      <c r="Q13" s="200"/>
      <c r="R13" s="201"/>
      <c r="S13" s="100">
        <f>D39-(C39+C48)</f>
        <v>-2162868.6058081533</v>
      </c>
    </row>
    <row r="14" spans="2:19" x14ac:dyDescent="0.3">
      <c r="B14" s="298" t="s">
        <v>129</v>
      </c>
      <c r="C14" s="299"/>
      <c r="D14" s="69">
        <f>Virksomhedssetup!E13</f>
        <v>96</v>
      </c>
      <c r="P14" s="199" t="s">
        <v>13</v>
      </c>
      <c r="Q14" s="200"/>
      <c r="R14" s="201"/>
      <c r="S14" s="100">
        <f>IF($D$12=1,'Dataark TCO'!P30*1,
IF($D$12=2,(('Dataark TCO'!P30+'Dataark TCO'!P35)/2),
IF($D$12=3,(('Dataark TCO'!P30+'Dataark TCO'!P35+'Dataark TCO'!P35)/3),
IF($D$12=4,(('Dataark TCO'!P30+'Dataark TCO'!P35+'Dataark TCO'!P35+'Dataark TCO'!P35)/4),
IF($D$12=5,(('Dataark TCO'!P30+'Dataark TCO'!P35+'Dataark TCO'!P35+'Dataark TCO'!P35+'Dataark TCO'!P35)/5),
IF($D$12=6,(('Dataark TCO'!P30+'Dataark TCO'!P35+'Dataark TCO'!P35+'Dataark TCO'!P35+'Dataark TCO'!P35+'Dataark TCO'!P35)/6),
IF($D$12=7,(('Dataark TCO'!P30+'Dataark TCO'!P35+'Dataark TCO'!P35+'Dataark TCO'!P35+'Dataark TCO'!P35+'Dataark TCO'!P35+'Dataark TCO'!P35)/7),
IF($D$12=8,(('Dataark TCO'!P30+'Dataark TCO'!P35+'Dataark TCO'!P35+'Dataark TCO'!P35+'Dataark TCO'!P35+'Dataark TCO'!P35+'Dataark TCO'!P35+'Dataark TCO'!P35)/8),
IF($D$12=9,(('Dataark TCO'!P30+'Dataark TCO'!P35+'Dataark TCO'!P35+'Dataark TCO'!P35+'Dataark TCO'!P35+'Dataark TCO'!P35+'Dataark TCO'!P35+'Dataark TCO'!P35+'Dataark TCO'!P35)/9),
IF($D$12=10,(('Dataark TCO'!P30+'Dataark TCO'!P35+'Dataark TCO'!P35+'Dataark TCO'!P35+'Dataark TCO'!P35+'Dataark TCO'!P35+'Dataark TCO'!P35+'Dataark TCO'!P35+'Dataark TCO'!P35+'Dataark TCO'!P35)/10),
IF($D$12=11,(('Dataark TCO'!P30+'Dataark TCO'!P35+'Dataark TCO'!P35+'Dataark TCO'!P35+'Dataark TCO'!P35+'Dataark TCO'!P35+'Dataark TCO'!P35+'Dataark TCO'!P35+'Dataark TCO'!P35+'Dataark TCO'!P35+'Dataark TCO'!P35)/11),
IF($D$12=12,(('Dataark TCO'!P30+'Dataark TCO'!P35+'Dataark TCO'!P35+'Dataark TCO'!P35+'Dataark TCO'!P35+'Dataark TCO'!P35+'Dataark TCO'!P35+'Dataark TCO'!P35+'Dataark TCO'!P35+'Dataark TCO'!P35+'Dataark TCO'!P35+'Dataark TCO'!P35)/12),
IF($D$12=13,(('Dataark TCO'!P30+'Dataark TCO'!P35+'Dataark TCO'!P35+'Dataark TCO'!P35+'Dataark TCO'!P35+'Dataark TCO'!P35+'Dataark TCO'!P35+'Dataark TCO'!P35+'Dataark TCO'!P35+'Dataark TCO'!P35+'Dataark TCO'!P35+'Dataark TCO'!P35+'Dataark TCO'!P35)/13))))))))))))))</f>
        <v>20331.60401992581</v>
      </c>
    </row>
    <row r="15" spans="2:19" ht="16.2" x14ac:dyDescent="0.45">
      <c r="B15" s="298" t="s">
        <v>139</v>
      </c>
      <c r="C15" s="299"/>
      <c r="D15" s="69">
        <f>Virksomhedssetup!E14</f>
        <v>300</v>
      </c>
      <c r="P15" s="181" t="s">
        <v>2</v>
      </c>
      <c r="Q15" s="182"/>
      <c r="R15" s="183"/>
      <c r="S15" s="101">
        <f>(S13-S13-S13)/S14</f>
        <v>106.37963456736875</v>
      </c>
    </row>
    <row r="16" spans="2:19" ht="16.2" x14ac:dyDescent="0.45">
      <c r="B16" s="298" t="s">
        <v>138</v>
      </c>
      <c r="C16" s="299"/>
      <c r="D16" s="69">
        <f>Virksomhedssetup!E15</f>
        <v>300</v>
      </c>
      <c r="P16" s="181" t="s">
        <v>11</v>
      </c>
      <c r="Q16" s="182"/>
      <c r="R16" s="183"/>
      <c r="S16" s="102">
        <f>S15/12</f>
        <v>8.8649695472807295</v>
      </c>
    </row>
    <row r="18" spans="2:4" x14ac:dyDescent="0.3">
      <c r="B18" s="28" t="s">
        <v>140</v>
      </c>
      <c r="C18" s="28"/>
      <c r="D18" s="28"/>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28" t="s">
        <v>8</v>
      </c>
      <c r="C26" s="28"/>
      <c r="D26" s="28"/>
    </row>
    <row r="27" spans="2:4" x14ac:dyDescent="0.3">
      <c r="B27" s="87" t="s">
        <v>130</v>
      </c>
      <c r="C27" s="87"/>
      <c r="D27" s="87"/>
    </row>
    <row r="28" spans="2:4" x14ac:dyDescent="0.3">
      <c r="B28" s="8" t="s">
        <v>38</v>
      </c>
      <c r="C28" s="149">
        <v>3000000</v>
      </c>
      <c r="D28" s="149">
        <f>Virksomhedssetup!E27</f>
        <v>1150000</v>
      </c>
    </row>
    <row r="29" spans="2:4" x14ac:dyDescent="0.3">
      <c r="B29" s="11" t="s">
        <v>37</v>
      </c>
      <c r="C29" s="149">
        <f>Virksomhedssetup!D28</f>
        <v>0</v>
      </c>
      <c r="D29" s="149">
        <f>Virksomhedssetup!E28</f>
        <v>0</v>
      </c>
    </row>
    <row r="30" spans="2:4" x14ac:dyDescent="0.3">
      <c r="B30" s="80"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s="29" customFormat="1" x14ac:dyDescent="0.3">
      <c r="B35" s="8" t="s">
        <v>1</v>
      </c>
      <c r="C35" s="159">
        <f>Virksomhedssetup!D34</f>
        <v>0.03</v>
      </c>
      <c r="D35" s="159">
        <f>Virksomhedssetup!E34</f>
        <v>0.03</v>
      </c>
      <c r="E35"/>
      <c r="Y35"/>
      <c r="Z35"/>
      <c r="AA35"/>
      <c r="AB35"/>
      <c r="AC35"/>
      <c r="AD35"/>
      <c r="AE35"/>
      <c r="AF35"/>
    </row>
    <row r="36" spans="2:32" s="29" customFormat="1" x14ac:dyDescent="0.3">
      <c r="B36" s="5" t="s">
        <v>42</v>
      </c>
      <c r="C36" s="47">
        <f>C39-(C31-C34-C32)</f>
        <v>404543.68509430252</v>
      </c>
      <c r="D36" s="47">
        <f t="shared" ref="D36" si="0">D39-(D31-D34-D32)</f>
        <v>155075.07928614924</v>
      </c>
      <c r="E36"/>
      <c r="Y36"/>
      <c r="Z36"/>
      <c r="AA36"/>
      <c r="AB36"/>
      <c r="AC36"/>
      <c r="AD36"/>
      <c r="AE36"/>
      <c r="AF36"/>
    </row>
    <row r="37" spans="2:32" s="29" customFormat="1" ht="16.2" x14ac:dyDescent="0.3">
      <c r="B37" s="9" t="s">
        <v>43</v>
      </c>
      <c r="C37" s="44">
        <f>PMT(C35/12,$D$14,(C31-C32)*-1,C34,1)</f>
        <v>32338.996719732317</v>
      </c>
      <c r="D37" s="44">
        <f>PMT(D35/12,$D$14,(D31-D32)*-1,D34,1)</f>
        <v>12396.615409230722</v>
      </c>
      <c r="E37"/>
      <c r="Y37"/>
      <c r="Z37"/>
      <c r="AA37"/>
      <c r="AB37"/>
      <c r="AC37"/>
      <c r="AD37"/>
      <c r="AE37"/>
      <c r="AF37"/>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s="103"/>
      <c r="K39" s="31"/>
      <c r="L39" s="31"/>
      <c r="M39" s="31"/>
      <c r="O39" s="32"/>
      <c r="Y39"/>
      <c r="Z39"/>
      <c r="AA39"/>
      <c r="AB39"/>
      <c r="AC39"/>
      <c r="AD39"/>
      <c r="AE39"/>
      <c r="AF39"/>
    </row>
    <row r="40" spans="2:32" s="29" customFormat="1" x14ac:dyDescent="0.3">
      <c r="B40" s="87" t="s">
        <v>27</v>
      </c>
      <c r="C40" s="87"/>
      <c r="D40" s="87"/>
      <c r="E40"/>
      <c r="H40" s="30" t="s">
        <v>130</v>
      </c>
      <c r="I40" s="30" t="s">
        <v>27</v>
      </c>
      <c r="J40" s="3" t="s">
        <v>225</v>
      </c>
      <c r="Y40"/>
      <c r="Z40"/>
      <c r="AA40"/>
      <c r="AB40"/>
      <c r="AC40"/>
      <c r="AD40"/>
      <c r="AE40"/>
      <c r="AF40"/>
    </row>
    <row r="41" spans="2:32" s="29" customFormat="1" x14ac:dyDescent="0.3">
      <c r="B41" s="8" t="s">
        <v>136</v>
      </c>
      <c r="C41" s="160">
        <f>Virksomhedssetup!D40</f>
        <v>50</v>
      </c>
      <c r="D41" s="70"/>
      <c r="E41"/>
      <c r="F41" s="295" t="s">
        <v>31</v>
      </c>
      <c r="G41" s="30" t="s">
        <v>14</v>
      </c>
      <c r="H41" s="31">
        <f>(C37)/D13</f>
        <v>4.3118662292976424</v>
      </c>
      <c r="I41" s="31">
        <f>C46/D13</f>
        <v>0.34499999999999997</v>
      </c>
      <c r="J41" s="93">
        <f>C56/$D$13</f>
        <v>4</v>
      </c>
      <c r="Y41"/>
      <c r="Z41"/>
      <c r="AA41"/>
      <c r="AB41"/>
      <c r="AC41"/>
      <c r="AD41"/>
      <c r="AE41"/>
      <c r="AF41"/>
    </row>
    <row r="42" spans="2:32" s="29" customFormat="1" x14ac:dyDescent="0.3">
      <c r="B42" s="8" t="s">
        <v>132</v>
      </c>
      <c r="C42" s="149">
        <f>Virksomhedssetup!D41</f>
        <v>150000</v>
      </c>
      <c r="D42" s="70"/>
      <c r="E42"/>
      <c r="F42" s="295"/>
      <c r="G42" s="30" t="s">
        <v>15</v>
      </c>
      <c r="H42" s="31">
        <f>D37/D13</f>
        <v>1.6528820545640963</v>
      </c>
      <c r="I42" s="31">
        <v>0</v>
      </c>
      <c r="J42">
        <f>D56/$D$13</f>
        <v>4</v>
      </c>
      <c r="Y42"/>
      <c r="Z42"/>
      <c r="AA42"/>
      <c r="AB42"/>
      <c r="AC42"/>
      <c r="AD42"/>
      <c r="AE42"/>
      <c r="AF42"/>
    </row>
    <row r="43" spans="2:32" s="29" customFormat="1" x14ac:dyDescent="0.3">
      <c r="B43" s="11" t="s">
        <v>131</v>
      </c>
      <c r="C43" s="160">
        <f>Virksomhedssetup!D42</f>
        <v>80</v>
      </c>
      <c r="D43" s="70"/>
      <c r="E43"/>
      <c r="F43" s="295"/>
      <c r="G43" s="30"/>
      <c r="H43" s="31"/>
      <c r="I43" s="31"/>
      <c r="J43"/>
      <c r="Y43"/>
      <c r="Z43"/>
      <c r="AA43"/>
      <c r="AB43"/>
      <c r="AC43"/>
      <c r="AD43"/>
      <c r="AE43"/>
      <c r="AF43"/>
    </row>
    <row r="44" spans="2:32" s="29" customFormat="1" x14ac:dyDescent="0.3">
      <c r="B44" s="80" t="s">
        <v>133</v>
      </c>
      <c r="C44" s="47">
        <f>(C43-25)*1200+16400</f>
        <v>82400</v>
      </c>
      <c r="D44" s="70"/>
      <c r="E44"/>
      <c r="F44" s="30" t="s">
        <v>24</v>
      </c>
      <c r="G44" s="30" t="s">
        <v>25</v>
      </c>
      <c r="H44" s="30" t="s">
        <v>22</v>
      </c>
      <c r="I44" s="30" t="s">
        <v>21</v>
      </c>
      <c r="Y44"/>
      <c r="Z44"/>
      <c r="AA44"/>
      <c r="AB44"/>
      <c r="AC44"/>
      <c r="AD44"/>
      <c r="AE44"/>
      <c r="AF44"/>
    </row>
    <row r="45" spans="2:32" s="29" customFormat="1" x14ac:dyDescent="0.3">
      <c r="B45" s="11" t="s">
        <v>178</v>
      </c>
      <c r="C45" s="149">
        <f>Virksomhedssetup!D44</f>
        <v>16000</v>
      </c>
      <c r="D45" s="70"/>
      <c r="E45"/>
      <c r="F45" s="31">
        <f>C66/D13</f>
        <v>1.3952430555555555</v>
      </c>
      <c r="G45" s="31">
        <f>C75/D13</f>
        <v>1.3414666666666666</v>
      </c>
      <c r="H45" s="31">
        <f>Afgifter!H77</f>
        <v>0.43607030593946461</v>
      </c>
      <c r="I45" s="29">
        <v>1E-14</v>
      </c>
      <c r="J45" s="32" t="str">
        <f>"Total "&amp;ROUND(H41+I41+F45+G45+H45+J41,2)</f>
        <v>Total 11,83</v>
      </c>
      <c r="Y45"/>
      <c r="Z45"/>
      <c r="AA45"/>
      <c r="AB45"/>
      <c r="AC45"/>
      <c r="AD45"/>
      <c r="AE45"/>
      <c r="AF45"/>
    </row>
    <row r="46" spans="2:32" s="29" customFormat="1" x14ac:dyDescent="0.3">
      <c r="B46" s="9" t="s">
        <v>169</v>
      </c>
      <c r="C46" s="18">
        <f>C47/12</f>
        <v>2587.5</v>
      </c>
      <c r="D46" s="18">
        <v>0</v>
      </c>
      <c r="E46"/>
      <c r="F46" s="31">
        <f>D66/D13</f>
        <v>3.3932000000000002</v>
      </c>
      <c r="G46" s="31">
        <f>D75/D13</f>
        <v>0.88906666666666667</v>
      </c>
      <c r="H46" s="31">
        <f>Afgifter!H78</f>
        <v>1.7709938974851283</v>
      </c>
      <c r="I46" s="29">
        <v>1E-14</v>
      </c>
      <c r="J46" s="32" t="str">
        <f>"Total "&amp;ROUND(H42+I42+F46+G46+H46+J42,2)</f>
        <v>Total 11,71</v>
      </c>
      <c r="Y46"/>
      <c r="Z46"/>
      <c r="AA46"/>
      <c r="AB46"/>
      <c r="AC46"/>
      <c r="AD46"/>
      <c r="AE46"/>
      <c r="AF46"/>
    </row>
    <row r="47" spans="2:32" s="29" customFormat="1" x14ac:dyDescent="0.3">
      <c r="B47" s="9" t="s">
        <v>170</v>
      </c>
      <c r="C47" s="18">
        <f>C48/D12</f>
        <v>31050</v>
      </c>
      <c r="D47" s="18">
        <v>0</v>
      </c>
      <c r="E47" s="41"/>
      <c r="F47"/>
      <c r="G47"/>
      <c r="H47"/>
      <c r="I47"/>
      <c r="J47"/>
      <c r="Y47"/>
      <c r="Z47"/>
      <c r="AA47"/>
      <c r="AB47"/>
      <c r="AC47"/>
      <c r="AD47"/>
      <c r="AE47"/>
      <c r="AF47"/>
    </row>
    <row r="48" spans="2:32" s="29" customFormat="1" x14ac:dyDescent="0.3">
      <c r="B48" s="9" t="s">
        <v>179</v>
      </c>
      <c r="C48" s="18">
        <f>C42+C44+C45</f>
        <v>248400</v>
      </c>
      <c r="D48" s="18">
        <v>0</v>
      </c>
      <c r="E48" s="41"/>
      <c r="F48"/>
      <c r="G48"/>
      <c r="H48"/>
      <c r="I48"/>
      <c r="J48"/>
      <c r="Y48"/>
      <c r="Z48"/>
      <c r="AA48"/>
      <c r="AB48"/>
      <c r="AC48"/>
      <c r="AD48"/>
      <c r="AE48"/>
      <c r="AF48"/>
    </row>
    <row r="49" spans="2:32" s="29" customFormat="1" x14ac:dyDescent="0.3">
      <c r="B49" s="28" t="s">
        <v>9</v>
      </c>
      <c r="C49" s="28"/>
      <c r="D49" s="28"/>
      <c r="E49" s="41"/>
      <c r="F49"/>
      <c r="G49"/>
      <c r="H49"/>
      <c r="I49"/>
      <c r="J49"/>
      <c r="Y49"/>
      <c r="Z49"/>
      <c r="AA49"/>
      <c r="AB49"/>
      <c r="AC49"/>
      <c r="AD49"/>
      <c r="AE49"/>
      <c r="AF49"/>
    </row>
    <row r="50" spans="2:32" s="29" customFormat="1" x14ac:dyDescent="0.3">
      <c r="B50" s="87" t="s">
        <v>126</v>
      </c>
      <c r="C50" s="87"/>
      <c r="D50" s="87"/>
      <c r="E50" s="41"/>
      <c r="Y50"/>
      <c r="Z50"/>
      <c r="AA50"/>
      <c r="AB50"/>
      <c r="AC50"/>
      <c r="AD50"/>
      <c r="AE50"/>
      <c r="AF50"/>
    </row>
    <row r="51" spans="2:32" s="29" customFormat="1" x14ac:dyDescent="0.3">
      <c r="B51" s="8" t="s">
        <v>127</v>
      </c>
      <c r="C51" s="149">
        <f>Virksomhedssetup!D47</f>
        <v>30000</v>
      </c>
      <c r="D51" s="149">
        <f>Virksomhedssetup!E47</f>
        <v>30000</v>
      </c>
      <c r="E51" s="41"/>
      <c r="Y51"/>
      <c r="Z51"/>
      <c r="AA51"/>
      <c r="AB51"/>
      <c r="AC51"/>
      <c r="AD51"/>
      <c r="AE51"/>
      <c r="AF51"/>
    </row>
    <row r="52" spans="2:32" s="29" customFormat="1" x14ac:dyDescent="0.3">
      <c r="B52" s="8" t="s">
        <v>137</v>
      </c>
      <c r="C52" s="150">
        <f>Virksomhedssetup!D48</f>
        <v>9</v>
      </c>
      <c r="D52" s="150">
        <f>Virksomhedssetup!E48</f>
        <v>9</v>
      </c>
      <c r="E52" s="41"/>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 t="shared" ref="D57" si="1">D56*12</f>
        <v>360000</v>
      </c>
      <c r="E57" s="41"/>
      <c r="Y57"/>
      <c r="Z57"/>
      <c r="AA57"/>
      <c r="AB57"/>
      <c r="AC57"/>
      <c r="AD57"/>
      <c r="AE57"/>
      <c r="AF57"/>
    </row>
    <row r="58" spans="2:32" s="29" customFormat="1" x14ac:dyDescent="0.3">
      <c r="B58" s="9" t="s">
        <v>173</v>
      </c>
      <c r="C58" s="18">
        <f>C57*$D$12</f>
        <v>2880000</v>
      </c>
      <c r="D58" s="18">
        <f>D57*$D$12</f>
        <v>2880000</v>
      </c>
      <c r="E58" s="41"/>
      <c r="H58"/>
      <c r="I58"/>
      <c r="J58"/>
      <c r="Y58"/>
      <c r="Z58"/>
      <c r="AA58"/>
      <c r="AB58"/>
      <c r="AC58"/>
      <c r="AD58"/>
      <c r="AE58"/>
      <c r="AF58"/>
    </row>
    <row r="59" spans="2:32" s="29" customFormat="1" x14ac:dyDescent="0.3">
      <c r="B59" s="87" t="s">
        <v>24</v>
      </c>
      <c r="C59" s="87"/>
      <c r="D59" s="87"/>
      <c r="E59" s="41"/>
      <c r="H59"/>
      <c r="I59"/>
      <c r="J59"/>
      <c r="Y59"/>
      <c r="Z59"/>
      <c r="AA59"/>
      <c r="AB59"/>
      <c r="AC59"/>
      <c r="AD59"/>
      <c r="AE59"/>
      <c r="AF59"/>
    </row>
    <row r="60" spans="2:32" s="29" customFormat="1" x14ac:dyDescent="0.3">
      <c r="B60" s="8" t="s">
        <v>208</v>
      </c>
      <c r="C60" s="153">
        <f>Virksomhedssetup!D53</f>
        <v>1.0732638888888888</v>
      </c>
      <c r="D60" s="153">
        <f>Virksomhedssetup!E53</f>
        <v>11.4</v>
      </c>
      <c r="E60" s="41"/>
      <c r="H60" s="30"/>
      <c r="I60" s="30"/>
      <c r="J60" s="30"/>
      <c r="Y60"/>
      <c r="Z60"/>
      <c r="AA60"/>
      <c r="AB60"/>
      <c r="AC60"/>
      <c r="AD60"/>
      <c r="AE60"/>
      <c r="AF60"/>
    </row>
    <row r="61" spans="2:32" s="29" customFormat="1" x14ac:dyDescent="0.3">
      <c r="B61" s="8" t="s">
        <v>45</v>
      </c>
      <c r="C61" s="17"/>
      <c r="D61" s="153">
        <f>Virksomhedssetup!E54</f>
        <v>0.11</v>
      </c>
      <c r="E61" s="41"/>
      <c r="H61" s="30"/>
      <c r="I61" s="30"/>
      <c r="J61" s="30"/>
      <c r="Y61"/>
      <c r="Z61"/>
      <c r="AA61"/>
      <c r="AB61"/>
      <c r="AC61"/>
      <c r="AD61"/>
      <c r="AE61"/>
      <c r="AF61"/>
    </row>
    <row r="62" spans="2:32" s="29" customFormat="1" x14ac:dyDescent="0.3">
      <c r="B62" s="5" t="s">
        <v>75</v>
      </c>
      <c r="C62" s="47">
        <f>(((D11/12)/100)*C63)*($C$22*C60)</f>
        <v>10464.322916666666</v>
      </c>
      <c r="D62" s="17"/>
      <c r="E62" s="41"/>
      <c r="H62" s="30"/>
      <c r="I62" s="30"/>
      <c r="J62" s="30"/>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Y68"/>
      <c r="Z68"/>
      <c r="AA68"/>
      <c r="AB68"/>
      <c r="AC68"/>
      <c r="AD68"/>
      <c r="AE68"/>
      <c r="AF68"/>
    </row>
    <row r="69" spans="2:32" s="29" customFormat="1" x14ac:dyDescent="0.3">
      <c r="B69" s="87" t="s">
        <v>25</v>
      </c>
      <c r="C69" s="87"/>
      <c r="D69" s="87"/>
      <c r="E69" s="41"/>
      <c r="Y69"/>
      <c r="Z69"/>
      <c r="AA69"/>
      <c r="AB69"/>
      <c r="AC69"/>
      <c r="AD69"/>
      <c r="AE69"/>
      <c r="AF69"/>
    </row>
    <row r="70" spans="2:32" s="29" customFormat="1" x14ac:dyDescent="0.3">
      <c r="B70" s="8" t="s">
        <v>88</v>
      </c>
      <c r="C70" s="149">
        <f>Virksomhedssetup!D61</f>
        <v>7685</v>
      </c>
      <c r="D70" s="149">
        <f>Virksomhedssetup!E61</f>
        <v>5000</v>
      </c>
      <c r="E70" s="82"/>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41"/>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F75"/>
      <c r="G75"/>
      <c r="H75"/>
      <c r="I75"/>
      <c r="J75"/>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F77" s="41"/>
      <c r="G77" s="41"/>
      <c r="H77" s="41"/>
      <c r="I77" s="41"/>
      <c r="J77" s="41"/>
      <c r="Y77"/>
      <c r="Z77"/>
      <c r="AA77"/>
      <c r="AB77"/>
      <c r="AC77"/>
      <c r="AD77"/>
      <c r="AE77"/>
      <c r="AF77"/>
    </row>
    <row r="78" spans="2:32" s="29" customFormat="1" x14ac:dyDescent="0.3">
      <c r="B78" s="249" t="s">
        <v>175</v>
      </c>
      <c r="C78" s="249"/>
      <c r="D78" s="249"/>
      <c r="E78" s="41"/>
      <c r="F78" s="41"/>
      <c r="G78" s="41"/>
      <c r="H78" s="41"/>
      <c r="I78" s="41"/>
      <c r="J78" s="41"/>
      <c r="Y78"/>
      <c r="Z78"/>
      <c r="AA78"/>
      <c r="AB78"/>
      <c r="AC78"/>
      <c r="AD78"/>
      <c r="AE78"/>
      <c r="AF78"/>
    </row>
    <row r="79" spans="2:32" s="29" customFormat="1" x14ac:dyDescent="0.3">
      <c r="B79" s="8" t="s">
        <v>240</v>
      </c>
      <c r="C79" s="149">
        <f>Virksomhedssetup!D67</f>
        <v>29</v>
      </c>
      <c r="D79" s="149">
        <f>Virksomhedssetup!E67</f>
        <v>29</v>
      </c>
      <c r="E79" s="41"/>
      <c r="F79" s="41"/>
      <c r="G79" s="41"/>
      <c r="H79" s="41"/>
      <c r="I79" s="41"/>
      <c r="J79" s="41"/>
      <c r="Y79"/>
      <c r="Z79"/>
      <c r="AA79"/>
      <c r="AB79"/>
      <c r="AC79"/>
      <c r="AD79"/>
      <c r="AE79"/>
      <c r="AF79"/>
    </row>
    <row r="80" spans="2:32" s="29" customFormat="1" x14ac:dyDescent="0.3">
      <c r="B80" s="8" t="s">
        <v>242</v>
      </c>
      <c r="C80" s="156">
        <f>Virksomhedssetup!D68</f>
        <v>1.4999999999999999E-2</v>
      </c>
      <c r="D80" s="156">
        <f>Virksomhedssetup!E68</f>
        <v>1.4999999999999999E-2</v>
      </c>
      <c r="E80" s="41"/>
      <c r="F80" s="41"/>
      <c r="G80" s="41"/>
      <c r="H80" s="41"/>
      <c r="I80" s="41"/>
      <c r="J80" s="41"/>
      <c r="Y80"/>
      <c r="Z80"/>
      <c r="AA80"/>
      <c r="AB80"/>
      <c r="AC80"/>
      <c r="AD80"/>
      <c r="AE80"/>
      <c r="AF80"/>
    </row>
    <row r="81" spans="2:32" s="29" customFormat="1" x14ac:dyDescent="0.3">
      <c r="B81" s="5" t="s">
        <v>241</v>
      </c>
      <c r="C81" s="45">
        <f>((H41+I41+J41+F45+G45)*C80)*D13</f>
        <v>1281.7772945459847</v>
      </c>
      <c r="D81" s="45">
        <f>((H42+I42+J42+F46+G46)*D80)*D13</f>
        <v>1117.7042311384607</v>
      </c>
      <c r="E81" s="41"/>
      <c r="F81" s="41"/>
      <c r="G81" s="41"/>
      <c r="H81" s="41"/>
      <c r="I81" s="41"/>
      <c r="J81" s="41"/>
      <c r="Y81"/>
      <c r="Z81"/>
      <c r="AA81"/>
      <c r="AB81"/>
      <c r="AC81"/>
      <c r="AD81"/>
      <c r="AE81"/>
      <c r="AF81"/>
    </row>
    <row r="82" spans="2:32" s="29" customFormat="1" ht="16.2" x14ac:dyDescent="0.45">
      <c r="B82" s="9" t="s">
        <v>47</v>
      </c>
      <c r="C82" s="40">
        <f>C81+C79</f>
        <v>1310.7772945459847</v>
      </c>
      <c r="D82" s="40">
        <f>D81+D79</f>
        <v>1146.7042311384607</v>
      </c>
      <c r="E82" s="41"/>
      <c r="F82" s="41"/>
      <c r="G82" s="41"/>
      <c r="H82" s="41"/>
      <c r="I82" s="41"/>
      <c r="J82" s="41"/>
      <c r="Y82"/>
      <c r="Z82"/>
      <c r="AA82"/>
      <c r="AB82"/>
      <c r="AC82"/>
      <c r="AD82"/>
      <c r="AE82"/>
      <c r="AF82"/>
    </row>
    <row r="83" spans="2:32" s="29" customFormat="1" ht="16.2" x14ac:dyDescent="0.45">
      <c r="B83" s="9" t="s">
        <v>48</v>
      </c>
      <c r="C83" s="40">
        <f>C82*12</f>
        <v>15729.327534551816</v>
      </c>
      <c r="D83" s="40">
        <f>D82*12</f>
        <v>13760.450773661529</v>
      </c>
      <c r="E83" s="41"/>
      <c r="F83" s="41"/>
      <c r="G83" s="41"/>
      <c r="H83" s="41"/>
      <c r="I83" s="41"/>
      <c r="J83" s="41"/>
      <c r="Y83"/>
      <c r="Z83"/>
      <c r="AA83"/>
      <c r="AB83"/>
      <c r="AC83"/>
      <c r="AD83"/>
      <c r="AE83"/>
      <c r="AF83"/>
    </row>
    <row r="84" spans="2:32" s="29" customFormat="1" ht="16.2" x14ac:dyDescent="0.45">
      <c r="B84" s="9" t="s">
        <v>79</v>
      </c>
      <c r="C84" s="40">
        <f>C83*$D$12</f>
        <v>125834.62027641453</v>
      </c>
      <c r="D84" s="40">
        <f>D83*$D$12</f>
        <v>110083.60618929223</v>
      </c>
      <c r="E84"/>
      <c r="F84"/>
      <c r="G84"/>
      <c r="H84"/>
      <c r="I84"/>
      <c r="J84"/>
      <c r="Y84"/>
      <c r="Z84"/>
      <c r="AA84"/>
      <c r="AB84"/>
      <c r="AC84"/>
      <c r="AD84"/>
      <c r="AE84"/>
      <c r="AF84"/>
    </row>
    <row r="85" spans="2:32" s="29" customFormat="1" x14ac:dyDescent="0.3">
      <c r="B85" s="297" t="s">
        <v>33</v>
      </c>
      <c r="C85" s="297"/>
      <c r="D85" s="297"/>
      <c r="E85"/>
      <c r="F85"/>
      <c r="G85"/>
      <c r="H85"/>
      <c r="I85"/>
      <c r="J85"/>
      <c r="Y85"/>
      <c r="Z85"/>
      <c r="AA85"/>
      <c r="AB85"/>
      <c r="AC85"/>
      <c r="AD85"/>
      <c r="AE85"/>
      <c r="AF85"/>
    </row>
    <row r="86" spans="2:32" s="29" customFormat="1" x14ac:dyDescent="0.3">
      <c r="B86" s="9" t="s">
        <v>49</v>
      </c>
      <c r="C86" s="18">
        <f t="shared" ref="C86:D88" si="2">C37+C46+C56+C66+C75+C82</f>
        <v>86762.596930944972</v>
      </c>
      <c r="D86" s="18">
        <f t="shared" si="2"/>
        <v>75660.319640369184</v>
      </c>
      <c r="E86"/>
      <c r="F86"/>
      <c r="G86"/>
      <c r="H86"/>
      <c r="I86"/>
      <c r="J86"/>
      <c r="Y86"/>
      <c r="Z86"/>
      <c r="AA86"/>
      <c r="AB86"/>
      <c r="AC86"/>
      <c r="AD86"/>
      <c r="AE86"/>
      <c r="AF86"/>
    </row>
    <row r="87" spans="2:32" s="29" customFormat="1" x14ac:dyDescent="0.3">
      <c r="B87" s="9" t="s">
        <v>50</v>
      </c>
      <c r="C87" s="18">
        <f t="shared" si="2"/>
        <v>1041151.1631713397</v>
      </c>
      <c r="D87" s="18">
        <f t="shared" si="2"/>
        <v>907923.83568443009</v>
      </c>
      <c r="E87"/>
      <c r="F87"/>
      <c r="G87"/>
      <c r="H87"/>
      <c r="I87"/>
      <c r="J87"/>
      <c r="Y87"/>
      <c r="Z87"/>
      <c r="AA87"/>
      <c r="AB87"/>
      <c r="AC87"/>
      <c r="AD87"/>
      <c r="AE87"/>
      <c r="AF87"/>
    </row>
    <row r="88" spans="2:32" x14ac:dyDescent="0.3">
      <c r="B88" s="9" t="s">
        <v>69</v>
      </c>
      <c r="C88" s="18">
        <f t="shared" si="2"/>
        <v>8329209.3053707173</v>
      </c>
      <c r="D88" s="18">
        <f t="shared" si="2"/>
        <v>7263390.6854754407</v>
      </c>
    </row>
    <row r="96" spans="2:32" x14ac:dyDescent="0.3">
      <c r="AF96" s="29"/>
    </row>
    <row r="106" spans="5:6" x14ac:dyDescent="0.3">
      <c r="E106" s="36"/>
    </row>
    <row r="109" spans="5:6" x14ac:dyDescent="0.3">
      <c r="F109" s="10"/>
    </row>
  </sheetData>
  <sheetProtection sheet="1" objects="1" scenarios="1" selectLockedCells="1"/>
  <mergeCells count="36">
    <mergeCell ref="G10:H10"/>
    <mergeCell ref="G6:H6"/>
    <mergeCell ref="P6:R6"/>
    <mergeCell ref="P7:R7"/>
    <mergeCell ref="P8:R8"/>
    <mergeCell ref="G9:H9"/>
    <mergeCell ref="F2:I2"/>
    <mergeCell ref="F3:I3"/>
    <mergeCell ref="B2:D2"/>
    <mergeCell ref="B4:D4"/>
    <mergeCell ref="B5:C5"/>
    <mergeCell ref="F5:I5"/>
    <mergeCell ref="P3:R3"/>
    <mergeCell ref="P5:R5"/>
    <mergeCell ref="P2:S2"/>
    <mergeCell ref="P4:S4"/>
    <mergeCell ref="B78:D78"/>
    <mergeCell ref="P11:S11"/>
    <mergeCell ref="P12:S12"/>
    <mergeCell ref="P13:R13"/>
    <mergeCell ref="P14:R14"/>
    <mergeCell ref="P15:R15"/>
    <mergeCell ref="P16:R16"/>
    <mergeCell ref="G7:H7"/>
    <mergeCell ref="G8:H8"/>
    <mergeCell ref="B6:C6"/>
    <mergeCell ref="B7:C7"/>
    <mergeCell ref="B8:C8"/>
    <mergeCell ref="B85:D85"/>
    <mergeCell ref="B13:C13"/>
    <mergeCell ref="F41:F43"/>
    <mergeCell ref="B11:C11"/>
    <mergeCell ref="B12:C12"/>
    <mergeCell ref="B14:C14"/>
    <mergeCell ref="B15:C15"/>
    <mergeCell ref="B16:C16"/>
  </mergeCells>
  <conditionalFormatting sqref="G10 I10">
    <cfRule type="colorScale" priority="4">
      <colorScale>
        <cfvo type="min"/>
        <cfvo type="percentile" val="50"/>
        <cfvo type="max"/>
        <color rgb="FF63BE7B"/>
        <color rgb="FFFFEB84"/>
        <color rgb="FFF8696B"/>
      </colorScale>
    </cfRule>
  </conditionalFormatting>
  <conditionalFormatting sqref="G7:I7">
    <cfRule type="colorScale" priority="3">
      <colorScale>
        <cfvo type="min"/>
        <cfvo type="percentile" val="50"/>
        <cfvo type="max"/>
        <color rgb="FF63BE7B"/>
        <color rgb="FFFFEB84"/>
        <color rgb="FFF8696B"/>
      </colorScale>
    </cfRule>
  </conditionalFormatting>
  <conditionalFormatting sqref="G8:I8">
    <cfRule type="colorScale" priority="2">
      <colorScale>
        <cfvo type="min"/>
        <cfvo type="percentile" val="50"/>
        <cfvo type="max"/>
        <color rgb="FF63BE7B"/>
        <color rgb="FFFFEB84"/>
        <color rgb="FFF8696B"/>
      </colorScale>
    </cfRule>
  </conditionalFormatting>
  <conditionalFormatting sqref="G9:I9">
    <cfRule type="colorScale" priority="1">
      <colorScale>
        <cfvo type="min"/>
        <cfvo type="percentile" val="50"/>
        <cfvo type="max"/>
        <color rgb="FF63BE7B"/>
        <color rgb="FFFFEB84"/>
        <color rgb="FFF8696B"/>
      </colorScale>
    </cfRule>
  </conditionalFormatting>
  <conditionalFormatting sqref="S5">
    <cfRule type="colorScale" priority="36">
      <colorScale>
        <cfvo type="min"/>
        <cfvo type="num" val="0"/>
        <cfvo type="max"/>
        <color rgb="FFFF0000"/>
        <color theme="0"/>
        <color rgb="FF00B050"/>
      </colorScale>
    </cfRule>
    <cfRule type="colorScale" priority="38">
      <colorScale>
        <cfvo type="min"/>
        <cfvo type="num" val="0"/>
        <cfvo type="max"/>
        <color rgb="FFFF0000"/>
        <color rgb="FFFFEB84"/>
        <color rgb="FF00B050"/>
      </colorScale>
    </cfRule>
    <cfRule type="colorScale" priority="39">
      <colorScale>
        <cfvo type="min"/>
        <cfvo type="num" val="0"/>
        <cfvo type="max"/>
        <color rgb="FFFF0000"/>
        <color theme="0"/>
        <color rgb="FF00B050"/>
      </colorScale>
    </cfRule>
  </conditionalFormatting>
  <conditionalFormatting sqref="S6:S8">
    <cfRule type="colorScale" priority="42">
      <colorScale>
        <cfvo type="num" val="-1"/>
        <cfvo type="num" val="0"/>
        <cfvo type="num" val="1"/>
        <color rgb="FFFF0000"/>
        <color rgb="FFFFFF00"/>
        <color rgb="FF00B050"/>
      </colorScale>
    </cfRule>
    <cfRule type="colorScale" priority="43">
      <colorScale>
        <cfvo type="min"/>
        <cfvo type="num" val="0"/>
        <cfvo type="max"/>
        <color rgb="FFFF0000"/>
        <color rgb="FFFFFF00"/>
        <color rgb="FF00B050"/>
      </colorScale>
    </cfRule>
  </conditionalFormatting>
  <hyperlinks>
    <hyperlink ref="F3" r:id="rId1" display="Har du spørgsmål til beregningen kan du henvende dig til lucas.perkild@regionh.dk" xr:uid="{B6115238-E840-4262-A049-AD0CE46C39BA}"/>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0C67-BEC0-413E-8A0A-166D9DE90158}">
  <sheetPr codeName="Sheet15">
    <tabColor rgb="FFFF0000"/>
  </sheetPr>
  <dimension ref="B2:AF109"/>
  <sheetViews>
    <sheetView showGridLines="0" topLeftCell="A32" zoomScaleNormal="100" workbookViewId="0">
      <selection activeCell="C42" sqref="C42"/>
    </sheetView>
  </sheetViews>
  <sheetFormatPr defaultColWidth="8.88671875" defaultRowHeight="14.4" x14ac:dyDescent="0.3"/>
  <cols>
    <col min="1" max="1" width="2" customWidth="1"/>
    <col min="2" max="2" width="52.88671875" bestFit="1" customWidth="1"/>
    <col min="3" max="4" width="13.88671875" bestFit="1" customWidth="1"/>
    <col min="5" max="5" width="12.109375" customWidth="1"/>
    <col min="6" max="6" width="27.4414062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9" ht="25.8" x14ac:dyDescent="0.5">
      <c r="B2" s="279" t="s">
        <v>93</v>
      </c>
      <c r="C2" s="280"/>
      <c r="D2" s="281"/>
      <c r="E2" s="6"/>
      <c r="F2" s="237" t="s">
        <v>6</v>
      </c>
      <c r="G2" s="237"/>
      <c r="H2" s="237"/>
      <c r="I2" s="237"/>
    </row>
    <row r="3" spans="2:9" x14ac:dyDescent="0.3">
      <c r="F3" s="282" t="s">
        <v>176</v>
      </c>
      <c r="G3" s="282"/>
      <c r="H3" s="282"/>
      <c r="I3" s="282"/>
    </row>
    <row r="4" spans="2:9" ht="18" x14ac:dyDescent="0.35">
      <c r="B4" s="283" t="s">
        <v>3</v>
      </c>
      <c r="C4" s="284"/>
      <c r="D4" s="285"/>
    </row>
    <row r="5" spans="2:9" x14ac:dyDescent="0.3">
      <c r="B5" s="276" t="s">
        <v>68</v>
      </c>
      <c r="C5" s="278"/>
      <c r="D5" s="2"/>
      <c r="F5" s="234" t="s">
        <v>80</v>
      </c>
      <c r="G5" s="234"/>
      <c r="H5" s="234"/>
      <c r="I5" s="234"/>
    </row>
    <row r="6" spans="2:9" x14ac:dyDescent="0.3">
      <c r="B6" s="276" t="s">
        <v>4</v>
      </c>
      <c r="C6" s="278"/>
      <c r="D6" s="4"/>
      <c r="F6" s="234" t="s">
        <v>19</v>
      </c>
      <c r="G6" s="234"/>
      <c r="H6" s="234"/>
      <c r="I6" s="28" t="s">
        <v>81</v>
      </c>
    </row>
    <row r="7" spans="2:9" x14ac:dyDescent="0.3">
      <c r="B7" s="276" t="s">
        <v>5</v>
      </c>
      <c r="C7" s="278"/>
      <c r="D7" s="8"/>
      <c r="E7" s="3"/>
      <c r="F7" s="286" t="s">
        <v>87</v>
      </c>
      <c r="G7" s="286"/>
      <c r="H7" s="286"/>
      <c r="I7" s="286"/>
    </row>
    <row r="8" spans="2:9" x14ac:dyDescent="0.3">
      <c r="B8" s="276" t="s">
        <v>23</v>
      </c>
      <c r="C8" s="278"/>
      <c r="D8" s="5"/>
      <c r="E8" s="7"/>
      <c r="F8" s="287" t="s">
        <v>67</v>
      </c>
      <c r="G8" s="287"/>
      <c r="H8" s="287"/>
      <c r="I8" s="58">
        <f>(H45+I45+F49+G49+H49)-(H44+I44+F48+G48+H48)</f>
        <v>-0.12350363874343806</v>
      </c>
    </row>
    <row r="9" spans="2:9" ht="16.2" x14ac:dyDescent="0.45">
      <c r="F9" s="287" t="s">
        <v>49</v>
      </c>
      <c r="G9" s="287"/>
      <c r="H9" s="287"/>
      <c r="I9" s="43">
        <f>$D$96-$C$96</f>
        <v>-926.27729057578836</v>
      </c>
    </row>
    <row r="10" spans="2:9" ht="16.2" x14ac:dyDescent="0.45">
      <c r="B10" s="298" t="s">
        <v>10</v>
      </c>
      <c r="C10" s="299"/>
      <c r="D10" s="69">
        <f>Virksomhedssetup!E10</f>
        <v>90000</v>
      </c>
      <c r="F10" s="287" t="s">
        <v>50</v>
      </c>
      <c r="G10" s="287"/>
      <c r="H10" s="287"/>
      <c r="I10" s="43">
        <f>$D$97-$C$97</f>
        <v>-11115.32748690946</v>
      </c>
    </row>
    <row r="11" spans="2:9" ht="16.2" x14ac:dyDescent="0.45">
      <c r="B11" s="298" t="s">
        <v>71</v>
      </c>
      <c r="C11" s="299"/>
      <c r="D11" s="69">
        <f>Virksomhedssetup!E11</f>
        <v>8</v>
      </c>
      <c r="F11" s="287" t="s">
        <v>69</v>
      </c>
      <c r="G11" s="287"/>
      <c r="H11" s="287"/>
      <c r="I11" s="43">
        <f>$D$98-$C$98</f>
        <v>-88922.619895275682</v>
      </c>
    </row>
    <row r="12" spans="2:9" x14ac:dyDescent="0.3">
      <c r="B12" s="298" t="s">
        <v>128</v>
      </c>
      <c r="C12" s="299"/>
      <c r="D12" s="69">
        <f>Virksomhedssetup!E12</f>
        <v>7500</v>
      </c>
    </row>
    <row r="13" spans="2:9" x14ac:dyDescent="0.3">
      <c r="B13" s="298" t="s">
        <v>129</v>
      </c>
      <c r="C13" s="299"/>
      <c r="D13" s="69">
        <f>Virksomhedssetup!E13</f>
        <v>96</v>
      </c>
      <c r="F13" s="124" t="s">
        <v>20</v>
      </c>
      <c r="G13" s="124"/>
      <c r="H13" s="124"/>
      <c r="I13" s="124"/>
    </row>
    <row r="14" spans="2:9" x14ac:dyDescent="0.3">
      <c r="B14" s="298" t="s">
        <v>139</v>
      </c>
      <c r="C14" s="299"/>
      <c r="D14" s="69">
        <f>Virksomhedssetup!E14</f>
        <v>300</v>
      </c>
      <c r="F14" s="1" t="s">
        <v>82</v>
      </c>
      <c r="G14" s="1"/>
      <c r="H14" s="1"/>
      <c r="I14" s="1"/>
    </row>
    <row r="15" spans="2:9" x14ac:dyDescent="0.3">
      <c r="B15" s="298" t="s">
        <v>138</v>
      </c>
      <c r="C15" s="299"/>
      <c r="D15" s="69">
        <f>Virksomhedssetup!E15</f>
        <v>300</v>
      </c>
      <c r="F15" s="5" t="s">
        <v>83</v>
      </c>
      <c r="G15" s="5"/>
      <c r="H15" s="5"/>
      <c r="I15" s="100">
        <f>D52-(C52+C61)</f>
        <v>-2162868.6058081533</v>
      </c>
    </row>
    <row r="16" spans="2:9" x14ac:dyDescent="0.3">
      <c r="F16" s="5" t="s">
        <v>13</v>
      </c>
      <c r="G16" s="5"/>
      <c r="H16" s="5"/>
      <c r="I16" s="100">
        <f>IF($D$11=1,'Dataark TCO'!P35*1,
IF($D$11=2,(('Dataark TCO'!P35+'Dataark TCO'!P35)/2),
IF($D$11=3,(('Dataark TCO'!P35+'Dataark TCO'!P35+'Dataark TCO'!P35)/3),
IF($D$11=4,(('Dataark TCO'!P35+'Dataark TCO'!P35+'Dataark TCO'!P35+'Dataark TCO'!P35)/4),
IF($D$11=5,(('Dataark TCO'!P35+'Dataark TCO'!P35+'Dataark TCO'!P35+'Dataark TCO'!P35+'Dataark TCO'!P35)/5),
IF($D$11=6,(('Dataark TCO'!P35+'Dataark TCO'!P35+'Dataark TCO'!P35+'Dataark TCO'!P35+'Dataark TCO'!P35+'Dataark TCO'!P35)/6),
IF($D$11=7,(('Dataark TCO'!P35+'Dataark TCO'!P35+'Dataark TCO'!P35+'Dataark TCO'!P35+'Dataark TCO'!P35+'Dataark TCO'!P35+'Dataark TCO'!P35)/7),
IF($D$11=8,(('Dataark TCO'!P35+'Dataark TCO'!P35+'Dataark TCO'!P35+'Dataark TCO'!P35+'Dataark TCO'!P35+'Dataark TCO'!P35+'Dataark TCO'!P35+'Dataark TCO'!P35)/8),
IF($D$11=9,(('Dataark TCO'!P35+'Dataark TCO'!P35+'Dataark TCO'!P35+'Dataark TCO'!P35+'Dataark TCO'!P35+'Dataark TCO'!P35+'Dataark TCO'!P35+'Dataark TCO'!P35+'Dataark TCO'!P35)/9),
IF($D$11=10,(('Dataark TCO'!P35+'Dataark TCO'!P35+'Dataark TCO'!P35+'Dataark TCO'!P35+'Dataark TCO'!P35+'Dataark TCO'!P35+'Dataark TCO'!P35+'Dataark TCO'!P35+'Dataark TCO'!P35+'Dataark TCO'!P35)/10),
IF($D$11=11,(('Dataark TCO'!P35+'Dataark TCO'!P35+'Dataark TCO'!P35+'Dataark TCO'!P35+'Dataark TCO'!P35+'Dataark TCO'!P35+'Dataark TCO'!P35+'Dataark TCO'!P35+'Dataark TCO'!P35+'Dataark TCO'!P35+'Dataark TCO'!P35)/11),
IF($D$11=12,(('Dataark TCO'!P35+'Dataark TCO'!P35+'Dataark TCO'!P35+'Dataark TCO'!P35+'Dataark TCO'!P35+'Dataark TCO'!P35+'Dataark TCO'!P35+'Dataark TCO'!P35+'Dataark TCO'!P35+'Dataark TCO'!P35+'Dataark TCO'!P35+'Dataark TCO'!P35)/12),
IF($D$11=13,(('Dataark TCO'!P35+'Dataark TCO'!P35+'Dataark TCO'!P35+'Dataark TCO'!P35+'Dataark TCO'!P35+'Dataark TCO'!P35+'Dataark TCO'!P35+'Dataark TCO'!P35+'Dataark TCO'!P35+'Dataark TCO'!P35+'Dataark TCO'!P35+'Dataark TCO'!P35+'Dataark TCO'!P35)/13))))))))))))))</f>
        <v>21603.60401992581</v>
      </c>
    </row>
    <row r="17" spans="2:9" ht="16.2" x14ac:dyDescent="0.45">
      <c r="F17" s="25" t="s">
        <v>2</v>
      </c>
      <c r="G17" s="25"/>
      <c r="H17" s="25"/>
      <c r="I17" s="101">
        <f>(I15-I15-I15)/I16</f>
        <v>100.11610117521406</v>
      </c>
    </row>
    <row r="18" spans="2:9" ht="16.2" x14ac:dyDescent="0.45">
      <c r="F18" s="25" t="s">
        <v>11</v>
      </c>
      <c r="G18" s="25"/>
      <c r="H18" s="25"/>
      <c r="I18" s="102">
        <f>I17/12</f>
        <v>8.3430084312678385</v>
      </c>
    </row>
    <row r="20" spans="2:9" x14ac:dyDescent="0.3">
      <c r="F20" s="244" t="s">
        <v>197</v>
      </c>
      <c r="G20" s="245"/>
      <c r="H20" s="245"/>
      <c r="I20" s="246"/>
    </row>
    <row r="21" spans="2:9" x14ac:dyDescent="0.3">
      <c r="F21" s="20"/>
      <c r="G21" s="244" t="s">
        <v>114</v>
      </c>
      <c r="H21" s="246"/>
      <c r="I21" s="20" t="s">
        <v>15</v>
      </c>
    </row>
    <row r="22" spans="2:9" x14ac:dyDescent="0.3">
      <c r="F22" s="94" t="s">
        <v>199</v>
      </c>
      <c r="G22" s="315" t="e">
        <f>(H44+I44+J44+F48+G48+H48)/C33</f>
        <v>#REF!</v>
      </c>
      <c r="H22" s="316"/>
      <c r="I22" s="105" t="e">
        <f>(H45+I45+J45+F49+G49+H49)/D33</f>
        <v>#REF!</v>
      </c>
    </row>
    <row r="23" spans="2:9" x14ac:dyDescent="0.3">
      <c r="F23" s="94" t="s">
        <v>226</v>
      </c>
      <c r="G23" s="315" t="e">
        <f>H48/C33</f>
        <v>#REF!</v>
      </c>
      <c r="H23" s="316"/>
      <c r="I23" s="105" t="e">
        <f>H49/D33</f>
        <v>#REF!</v>
      </c>
    </row>
    <row r="24" spans="2:9" x14ac:dyDescent="0.3">
      <c r="F24" s="94" t="s">
        <v>223</v>
      </c>
      <c r="G24" s="319" t="e">
        <f>(G23/G22)*100</f>
        <v>#REF!</v>
      </c>
      <c r="H24" s="320"/>
      <c r="I24" s="119" t="e">
        <f>(I23/I22)*100</f>
        <v>#REF!</v>
      </c>
    </row>
    <row r="26" spans="2:9" x14ac:dyDescent="0.3">
      <c r="F26" s="244" t="s">
        <v>217</v>
      </c>
      <c r="G26" s="245"/>
      <c r="H26" s="245"/>
      <c r="I26" s="246"/>
    </row>
    <row r="27" spans="2:9" x14ac:dyDescent="0.3">
      <c r="B27" s="234" t="s">
        <v>140</v>
      </c>
      <c r="C27" s="234"/>
      <c r="D27" s="234"/>
      <c r="F27" s="20"/>
      <c r="G27" s="244" t="s">
        <v>114</v>
      </c>
      <c r="H27" s="246"/>
      <c r="I27" s="20" t="s">
        <v>15</v>
      </c>
    </row>
    <row r="28" spans="2:9" x14ac:dyDescent="0.3">
      <c r="B28" s="20"/>
      <c r="C28" s="28" t="s">
        <v>0</v>
      </c>
      <c r="D28" s="28" t="s">
        <v>7</v>
      </c>
      <c r="F28" s="94" t="s">
        <v>218</v>
      </c>
      <c r="G28" s="315" t="e">
        <f>(H44+I44+F48+G48+H48+J44)/C34</f>
        <v>#REF!</v>
      </c>
      <c r="H28" s="316"/>
      <c r="I28" s="105" t="e">
        <f>(H45+I45+F49+G49+H49+J45)/D34</f>
        <v>#REF!</v>
      </c>
    </row>
    <row r="29" spans="2:9" x14ac:dyDescent="0.3">
      <c r="B29" s="8" t="s">
        <v>141</v>
      </c>
      <c r="C29" s="8">
        <f>Virksomhedssetup!D19</f>
        <v>550</v>
      </c>
      <c r="D29" s="68"/>
      <c r="F29" s="94" t="s">
        <v>219</v>
      </c>
      <c r="G29" s="315" t="e">
        <f>IF(C35=C34,G28,G28+((G28/100)*(100-C36)))</f>
        <v>#REF!</v>
      </c>
      <c r="H29" s="316"/>
      <c r="I29" s="105" t="e">
        <f>IF(D35=D34,I28,I28+((I28/100)*(100-D36)))</f>
        <v>#REF!</v>
      </c>
    </row>
    <row r="30" spans="2:9" x14ac:dyDescent="0.3">
      <c r="B30" s="8" t="s">
        <v>142</v>
      </c>
      <c r="C30" s="8">
        <f>Virksomhedssetup!D20</f>
        <v>300</v>
      </c>
      <c r="D30" s="68"/>
      <c r="F30" s="94" t="s">
        <v>221</v>
      </c>
      <c r="G30" s="315" t="e">
        <f>H48/C34</f>
        <v>#REF!</v>
      </c>
      <c r="H30" s="316"/>
      <c r="I30" s="105" t="e">
        <f>H49/D34</f>
        <v>#REF!</v>
      </c>
    </row>
    <row r="31" spans="2:9" x14ac:dyDescent="0.3">
      <c r="B31" s="8" t="s">
        <v>209</v>
      </c>
      <c r="C31" s="8">
        <f>Virksomhedssetup!D21</f>
        <v>1.3</v>
      </c>
      <c r="D31" s="8">
        <f>Virksomhedssetup!E21</f>
        <v>0.28799999999999998</v>
      </c>
      <c r="F31" s="94" t="s">
        <v>222</v>
      </c>
      <c r="G31" s="315" t="e">
        <f>IF(C35=C34,G30,G30+((G30/100)*(100-C36)))</f>
        <v>#REF!</v>
      </c>
      <c r="H31" s="316"/>
      <c r="I31" s="105" t="e">
        <f>IF(D35=D34,I30,I30+((I30/100)*(100-D36)))</f>
        <v>#REF!</v>
      </c>
    </row>
    <row r="32" spans="2:9" x14ac:dyDescent="0.3">
      <c r="B32" s="60" t="s">
        <v>143</v>
      </c>
      <c r="C32" s="60">
        <f>C29/C31</f>
        <v>423.07692307692304</v>
      </c>
      <c r="D32" s="67"/>
    </row>
    <row r="33" spans="2:32" x14ac:dyDescent="0.3">
      <c r="B33" s="60" t="s">
        <v>200</v>
      </c>
      <c r="C33" s="96" t="e">
        <f>Virksomhedssetup!#REF!</f>
        <v>#REF!</v>
      </c>
      <c r="D33" s="96" t="e">
        <f>Virksomhedssetup!#REF!</f>
        <v>#REF!</v>
      </c>
    </row>
    <row r="34" spans="2:32" x14ac:dyDescent="0.3">
      <c r="B34" s="60" t="s">
        <v>215</v>
      </c>
      <c r="C34" s="96" t="e">
        <f>Virksomhedssetup!#REF!</f>
        <v>#REF!</v>
      </c>
      <c r="D34" s="96" t="e">
        <f>Virksomhedssetup!#REF!</f>
        <v>#REF!</v>
      </c>
    </row>
    <row r="35" spans="2:32" x14ac:dyDescent="0.3">
      <c r="B35" s="60" t="s">
        <v>216</v>
      </c>
      <c r="C35" s="96" t="e">
        <f>Virksomhedssetup!#REF!</f>
        <v>#REF!</v>
      </c>
      <c r="D35" s="96" t="e">
        <f>Virksomhedssetup!#REF!</f>
        <v>#REF!</v>
      </c>
    </row>
    <row r="36" spans="2:32" x14ac:dyDescent="0.3">
      <c r="B36" s="79" t="s">
        <v>220</v>
      </c>
      <c r="C36" s="111" t="e">
        <f>(C35/C34)*100</f>
        <v>#REF!</v>
      </c>
      <c r="D36" s="111" t="e">
        <f>(D35/D34)*100</f>
        <v>#REF!</v>
      </c>
    </row>
    <row r="38" spans="2:32" s="29" customFormat="1" x14ac:dyDescent="0.3">
      <c r="B38" s="28" t="s">
        <v>19</v>
      </c>
      <c r="C38" s="28" t="s">
        <v>0</v>
      </c>
      <c r="D38" s="28" t="s">
        <v>7</v>
      </c>
      <c r="E38"/>
      <c r="Y38"/>
      <c r="Z38"/>
      <c r="AA38"/>
      <c r="AB38"/>
      <c r="AC38"/>
      <c r="AD38"/>
      <c r="AE38"/>
      <c r="AF38"/>
    </row>
    <row r="39" spans="2:32" s="29" customFormat="1" x14ac:dyDescent="0.3">
      <c r="B39" s="234" t="s">
        <v>8</v>
      </c>
      <c r="C39" s="234"/>
      <c r="D39" s="234"/>
      <c r="E39"/>
      <c r="Y39"/>
      <c r="Z39"/>
      <c r="AA39"/>
      <c r="AB39"/>
      <c r="AC39"/>
      <c r="AD39"/>
      <c r="AE39"/>
      <c r="AF39"/>
    </row>
    <row r="40" spans="2:32" s="29" customFormat="1" x14ac:dyDescent="0.3">
      <c r="B40" s="249" t="s">
        <v>130</v>
      </c>
      <c r="C40" s="249"/>
      <c r="D40" s="249"/>
      <c r="E40"/>
      <c r="Y40"/>
      <c r="Z40"/>
      <c r="AA40"/>
      <c r="AB40"/>
      <c r="AC40"/>
      <c r="AD40"/>
      <c r="AE40"/>
      <c r="AF40"/>
    </row>
    <row r="41" spans="2:32" s="29" customFormat="1" x14ac:dyDescent="0.3">
      <c r="B41" s="8" t="s">
        <v>38</v>
      </c>
      <c r="C41" s="16">
        <v>3000000</v>
      </c>
      <c r="D41" s="16">
        <f>Virksomhedssetup!E27</f>
        <v>1150000</v>
      </c>
      <c r="E41"/>
      <c r="Y41"/>
      <c r="Z41"/>
      <c r="AA41"/>
      <c r="AB41"/>
      <c r="AC41"/>
      <c r="AD41"/>
      <c r="AE41"/>
      <c r="AF41"/>
    </row>
    <row r="42" spans="2:32" s="29" customFormat="1" x14ac:dyDescent="0.3">
      <c r="B42" s="11" t="s">
        <v>37</v>
      </c>
      <c r="C42" s="16">
        <f>Virksomhedssetup!D28</f>
        <v>0</v>
      </c>
      <c r="D42" s="16">
        <f>Virksomhedssetup!E28</f>
        <v>0</v>
      </c>
      <c r="E42" s="33"/>
      <c r="Y42"/>
      <c r="Z42"/>
      <c r="AA42"/>
      <c r="AB42"/>
      <c r="AC42"/>
      <c r="AD42"/>
      <c r="AE42"/>
      <c r="AF42"/>
    </row>
    <row r="43" spans="2:32" s="29" customFormat="1" x14ac:dyDescent="0.3">
      <c r="B43" s="80" t="s">
        <v>36</v>
      </c>
      <c r="C43" s="83">
        <f>(C42/C41)*100</f>
        <v>0</v>
      </c>
      <c r="D43" s="83">
        <f>(D42/D41)*100</f>
        <v>0</v>
      </c>
      <c r="E43"/>
      <c r="H43" s="30" t="s">
        <v>130</v>
      </c>
      <c r="I43" s="30" t="s">
        <v>27</v>
      </c>
      <c r="J43" s="3" t="s">
        <v>126</v>
      </c>
      <c r="Y43"/>
      <c r="Z43"/>
      <c r="AA43"/>
      <c r="AB43"/>
      <c r="AC43"/>
      <c r="AD43"/>
      <c r="AE43"/>
      <c r="AF43"/>
    </row>
    <row r="44" spans="2:32" s="29" customFormat="1" x14ac:dyDescent="0.3">
      <c r="B44" s="5" t="s">
        <v>39</v>
      </c>
      <c r="C44" s="47">
        <f>C41-C42</f>
        <v>3000000</v>
      </c>
      <c r="D44" s="47">
        <f>D41-D42</f>
        <v>1150000</v>
      </c>
      <c r="E44"/>
      <c r="F44" s="295" t="s">
        <v>31</v>
      </c>
      <c r="G44" s="30" t="s">
        <v>14</v>
      </c>
      <c r="H44" s="31">
        <f>(C50)/D12</f>
        <v>4.3118662292976424</v>
      </c>
      <c r="I44" s="31">
        <f>C59/D12</f>
        <v>0.34499999999999997</v>
      </c>
      <c r="J44" s="36">
        <f>C69/$D$12</f>
        <v>4</v>
      </c>
      <c r="Y44"/>
      <c r="Z44"/>
      <c r="AA44"/>
      <c r="AB44"/>
      <c r="AC44"/>
      <c r="AD44"/>
      <c r="AE44"/>
      <c r="AF44"/>
    </row>
    <row r="45" spans="2:32" s="29" customFormat="1" x14ac:dyDescent="0.3">
      <c r="B45" s="8" t="s">
        <v>40</v>
      </c>
      <c r="C45" s="16">
        <f>Virksomhedssetup!D31</f>
        <v>0</v>
      </c>
      <c r="D45" s="16">
        <f>Virksomhedssetup!E31</f>
        <v>0</v>
      </c>
      <c r="E45"/>
      <c r="F45" s="295"/>
      <c r="G45" s="30" t="s">
        <v>15</v>
      </c>
      <c r="H45" s="31">
        <f>D50/D12</f>
        <v>1.6528820545640963</v>
      </c>
      <c r="I45" s="31">
        <v>0</v>
      </c>
      <c r="J45">
        <f>D69/$D$12</f>
        <v>4</v>
      </c>
      <c r="Y45"/>
      <c r="Z45"/>
      <c r="AA45"/>
      <c r="AB45"/>
      <c r="AC45"/>
      <c r="AD45"/>
      <c r="AE45"/>
      <c r="AF45"/>
    </row>
    <row r="46" spans="2:32" s="29" customFormat="1" x14ac:dyDescent="0.3">
      <c r="B46" s="8" t="s">
        <v>41</v>
      </c>
      <c r="C46" s="77">
        <f>Virksomhedssetup!D32</f>
        <v>10</v>
      </c>
      <c r="D46" s="77">
        <f>Virksomhedssetup!E32</f>
        <v>10</v>
      </c>
      <c r="E46"/>
      <c r="F46" s="295"/>
      <c r="G46" s="30"/>
      <c r="H46" s="31"/>
      <c r="I46" s="31"/>
      <c r="J46"/>
      <c r="Y46"/>
      <c r="Z46"/>
      <c r="AA46"/>
      <c r="AB46"/>
      <c r="AC46"/>
      <c r="AD46"/>
      <c r="AE46"/>
      <c r="AF46"/>
    </row>
    <row r="47" spans="2:32" s="29" customFormat="1" x14ac:dyDescent="0.3">
      <c r="B47" s="5" t="s">
        <v>70</v>
      </c>
      <c r="C47" s="47">
        <f>(C41/100)*C46</f>
        <v>300000</v>
      </c>
      <c r="D47" s="47">
        <f>(D41/100)*D46</f>
        <v>115000</v>
      </c>
      <c r="E47"/>
      <c r="F47" s="30" t="s">
        <v>24</v>
      </c>
      <c r="G47" s="30" t="s">
        <v>25</v>
      </c>
      <c r="H47" s="30" t="s">
        <v>22</v>
      </c>
      <c r="I47" s="30" t="s">
        <v>21</v>
      </c>
      <c r="Y47"/>
      <c r="Z47"/>
      <c r="AA47"/>
      <c r="AB47"/>
      <c r="AC47"/>
      <c r="AD47"/>
      <c r="AE47"/>
      <c r="AF47"/>
    </row>
    <row r="48" spans="2:32" s="29" customFormat="1" x14ac:dyDescent="0.3">
      <c r="B48" s="8" t="s">
        <v>1</v>
      </c>
      <c r="C48" s="78">
        <f>Virksomhedssetup!D34</f>
        <v>0.03</v>
      </c>
      <c r="D48" s="78">
        <f>Virksomhedssetup!E34</f>
        <v>0.03</v>
      </c>
      <c r="E48"/>
      <c r="F48" s="31">
        <f>C79/D12</f>
        <v>1.3952430555555555</v>
      </c>
      <c r="G48" s="31">
        <f>C88/D12</f>
        <v>1.3414666666666666</v>
      </c>
      <c r="H48" s="31">
        <f>Afgifter!I77</f>
        <v>0.43607030593946461</v>
      </c>
      <c r="I48" s="29">
        <v>1E-14</v>
      </c>
      <c r="J48" s="32" t="str">
        <f>"Total "&amp;ROUND(H44+I44+F48+G48+H48+J44,2)</f>
        <v>Total 11,83</v>
      </c>
      <c r="Y48"/>
      <c r="Z48"/>
      <c r="AA48"/>
      <c r="AB48"/>
      <c r="AC48"/>
      <c r="AD48"/>
      <c r="AE48"/>
      <c r="AF48"/>
    </row>
    <row r="49" spans="2:32" s="29" customFormat="1" x14ac:dyDescent="0.3">
      <c r="B49" s="5" t="s">
        <v>42</v>
      </c>
      <c r="C49" s="47">
        <f>C52-(C44-C47-C45)</f>
        <v>404543.68509430252</v>
      </c>
      <c r="D49" s="47">
        <f t="shared" ref="D49" si="0">D52-(D44-D47-D45)</f>
        <v>155075.07928614924</v>
      </c>
      <c r="E49"/>
      <c r="F49" s="31">
        <f>D79/D12</f>
        <v>3.3932000000000002</v>
      </c>
      <c r="G49" s="31">
        <f>D88/D12</f>
        <v>0.88906666666666667</v>
      </c>
      <c r="H49" s="31">
        <f>Afgifter!I78</f>
        <v>1.7709938974851283</v>
      </c>
      <c r="I49" s="29">
        <v>1E-14</v>
      </c>
      <c r="J49" s="32" t="str">
        <f>"Total "&amp;ROUND(H45+I45+F49+G49+H49+J45,2)</f>
        <v>Total 11,71</v>
      </c>
      <c r="Y49"/>
      <c r="Z49"/>
      <c r="AA49"/>
      <c r="AB49"/>
      <c r="AC49"/>
      <c r="AD49"/>
      <c r="AE49"/>
      <c r="AF49"/>
    </row>
    <row r="50" spans="2:32" s="29" customFormat="1" ht="16.2" x14ac:dyDescent="0.3">
      <c r="B50" s="9" t="s">
        <v>43</v>
      </c>
      <c r="C50" s="44">
        <f>PMT(C48/12,$D$13,(C44-C45)*-1,C47,1)</f>
        <v>32338.996719732317</v>
      </c>
      <c r="D50" s="44">
        <f>PMT(D48/12,$D$13,(D44-D45)*-1,D47,1)</f>
        <v>12396.615409230722</v>
      </c>
      <c r="E50" s="41"/>
      <c r="F50"/>
      <c r="G50"/>
      <c r="H50"/>
      <c r="I50"/>
      <c r="J50"/>
      <c r="Y50"/>
      <c r="Z50"/>
      <c r="AA50"/>
      <c r="AB50"/>
      <c r="AC50"/>
      <c r="AD50"/>
      <c r="AE50"/>
      <c r="AF50"/>
    </row>
    <row r="51" spans="2:32" s="29" customFormat="1" x14ac:dyDescent="0.3">
      <c r="B51" s="9" t="s">
        <v>44</v>
      </c>
      <c r="C51" s="18">
        <f>C50*12</f>
        <v>388067.96063678782</v>
      </c>
      <c r="D51" s="18">
        <f>D50*12</f>
        <v>148759.38491076865</v>
      </c>
      <c r="E51" s="41"/>
      <c r="F51"/>
      <c r="G51"/>
      <c r="H51"/>
      <c r="I51"/>
      <c r="J51"/>
      <c r="Y51"/>
      <c r="Z51"/>
      <c r="AA51"/>
      <c r="AB51"/>
      <c r="AC51"/>
      <c r="AD51"/>
      <c r="AE51"/>
      <c r="AF51"/>
    </row>
    <row r="52" spans="2:32" s="29" customFormat="1" x14ac:dyDescent="0.3">
      <c r="B52" s="9" t="s">
        <v>72</v>
      </c>
      <c r="C52" s="18">
        <f>C51*D11</f>
        <v>3104543.6850943025</v>
      </c>
      <c r="D52" s="18">
        <f>D51*D11</f>
        <v>1190075.0792861492</v>
      </c>
      <c r="E52" s="41"/>
      <c r="F52"/>
      <c r="G52"/>
      <c r="H52"/>
      <c r="I52"/>
      <c r="J52"/>
      <c r="Y52"/>
      <c r="Z52"/>
      <c r="AA52"/>
      <c r="AB52"/>
      <c r="AC52"/>
      <c r="AD52"/>
      <c r="AE52"/>
      <c r="AF52"/>
    </row>
    <row r="53" spans="2:32" s="29" customFormat="1" x14ac:dyDescent="0.3">
      <c r="B53" s="249" t="s">
        <v>27</v>
      </c>
      <c r="C53" s="249"/>
      <c r="D53" s="249"/>
      <c r="E53" s="41"/>
      <c r="Y53"/>
      <c r="Z53"/>
      <c r="AA53"/>
      <c r="AB53"/>
      <c r="AC53"/>
      <c r="AD53"/>
      <c r="AE53"/>
      <c r="AF53"/>
    </row>
    <row r="54" spans="2:32" s="29" customFormat="1" x14ac:dyDescent="0.3">
      <c r="B54" s="8" t="s">
        <v>136</v>
      </c>
      <c r="C54" s="59">
        <f>Virksomhedssetup!D40</f>
        <v>50</v>
      </c>
      <c r="D54" s="70"/>
      <c r="E54" s="41"/>
      <c r="Y54"/>
      <c r="Z54"/>
      <c r="AA54"/>
      <c r="AB54"/>
      <c r="AC54"/>
      <c r="AD54"/>
      <c r="AE54"/>
      <c r="AF54"/>
    </row>
    <row r="55" spans="2:32" s="29" customFormat="1" x14ac:dyDescent="0.3">
      <c r="B55" s="8" t="s">
        <v>132</v>
      </c>
      <c r="C55" s="16">
        <f>Virksomhedssetup!D41</f>
        <v>150000</v>
      </c>
      <c r="D55" s="70"/>
      <c r="E55" s="41"/>
      <c r="Y55"/>
      <c r="Z55"/>
      <c r="AA55"/>
      <c r="AB55"/>
      <c r="AC55"/>
      <c r="AD55"/>
      <c r="AE55"/>
      <c r="AF55"/>
    </row>
    <row r="56" spans="2:32" s="29" customFormat="1" x14ac:dyDescent="0.3">
      <c r="B56" s="11" t="s">
        <v>131</v>
      </c>
      <c r="C56" s="59">
        <f>Virksomhedssetup!D42</f>
        <v>80</v>
      </c>
      <c r="D56" s="70"/>
      <c r="E56" s="41"/>
      <c r="Y56"/>
      <c r="Z56"/>
      <c r="AA56"/>
      <c r="AB56"/>
      <c r="AC56"/>
      <c r="AD56"/>
      <c r="AE56"/>
      <c r="AF56"/>
    </row>
    <row r="57" spans="2:32" s="29" customFormat="1" x14ac:dyDescent="0.3">
      <c r="B57" s="80" t="s">
        <v>133</v>
      </c>
      <c r="C57" s="47">
        <f>(C56-25)*1200+16400</f>
        <v>82400</v>
      </c>
      <c r="D57" s="70"/>
      <c r="E57" s="41"/>
      <c r="Y57"/>
      <c r="Z57"/>
      <c r="AA57"/>
      <c r="AB57"/>
      <c r="AC57"/>
      <c r="AD57"/>
      <c r="AE57"/>
      <c r="AF57"/>
    </row>
    <row r="58" spans="2:32" s="29" customFormat="1" x14ac:dyDescent="0.3">
      <c r="B58" s="11" t="s">
        <v>178</v>
      </c>
      <c r="C58" s="16">
        <f>Virksomhedssetup!D44</f>
        <v>16000</v>
      </c>
      <c r="D58" s="70"/>
      <c r="E58" s="41"/>
      <c r="Y58"/>
      <c r="Z58"/>
      <c r="AA58"/>
      <c r="AB58"/>
      <c r="AC58"/>
      <c r="AD58"/>
      <c r="AE58"/>
      <c r="AF58"/>
    </row>
    <row r="59" spans="2:32" s="29" customFormat="1" x14ac:dyDescent="0.3">
      <c r="B59" s="9" t="s">
        <v>169</v>
      </c>
      <c r="C59" s="18">
        <f>C60/12</f>
        <v>2587.5</v>
      </c>
      <c r="D59" s="18">
        <v>0</v>
      </c>
      <c r="E59" s="41"/>
      <c r="Y59"/>
      <c r="Z59"/>
      <c r="AA59"/>
      <c r="AB59"/>
      <c r="AC59"/>
      <c r="AD59"/>
      <c r="AE59"/>
      <c r="AF59"/>
    </row>
    <row r="60" spans="2:32" s="29" customFormat="1" x14ac:dyDescent="0.3">
      <c r="B60" s="9" t="s">
        <v>170</v>
      </c>
      <c r="C60" s="18">
        <f>C61/D11</f>
        <v>31050</v>
      </c>
      <c r="D60" s="18">
        <v>0</v>
      </c>
      <c r="E60" s="41"/>
      <c r="Y60"/>
      <c r="Z60"/>
      <c r="AA60"/>
      <c r="AB60"/>
      <c r="AC60"/>
      <c r="AD60"/>
      <c r="AE60"/>
      <c r="AF60"/>
    </row>
    <row r="61" spans="2:32" s="29" customFormat="1" x14ac:dyDescent="0.3">
      <c r="B61" s="9" t="s">
        <v>179</v>
      </c>
      <c r="C61" s="18">
        <f>C55+C57+C58</f>
        <v>248400</v>
      </c>
      <c r="D61" s="18">
        <v>0</v>
      </c>
      <c r="E61" s="41"/>
      <c r="H61"/>
      <c r="I61"/>
      <c r="J61"/>
      <c r="Y61"/>
      <c r="Z61"/>
      <c r="AA61"/>
      <c r="AB61"/>
      <c r="AC61"/>
      <c r="AD61"/>
      <c r="AE61"/>
      <c r="AF61"/>
    </row>
    <row r="62" spans="2:32" s="29" customFormat="1" x14ac:dyDescent="0.3">
      <c r="B62" s="234" t="s">
        <v>9</v>
      </c>
      <c r="C62" s="234"/>
      <c r="D62" s="234"/>
      <c r="E62" s="41"/>
      <c r="H62"/>
      <c r="I62"/>
      <c r="J62"/>
      <c r="Y62"/>
      <c r="Z62"/>
      <c r="AA62"/>
      <c r="AB62"/>
      <c r="AC62"/>
      <c r="AD62"/>
      <c r="AE62"/>
      <c r="AF62"/>
    </row>
    <row r="63" spans="2:32" s="29" customFormat="1" x14ac:dyDescent="0.3">
      <c r="B63" s="249" t="s">
        <v>126</v>
      </c>
      <c r="C63" s="249"/>
      <c r="D63" s="249"/>
      <c r="E63" s="41"/>
      <c r="H63" s="30"/>
      <c r="I63" s="30"/>
      <c r="J63" s="30"/>
      <c r="Y63"/>
      <c r="Z63"/>
      <c r="AA63"/>
      <c r="AB63"/>
      <c r="AC63"/>
      <c r="AD63"/>
      <c r="AE63"/>
      <c r="AF63"/>
    </row>
    <row r="64" spans="2:32" s="29" customFormat="1" x14ac:dyDescent="0.3">
      <c r="B64" s="8" t="s">
        <v>127</v>
      </c>
      <c r="C64" s="16">
        <f>Virksomhedssetup!D47</f>
        <v>30000</v>
      </c>
      <c r="D64" s="16">
        <f>Virksomhedssetup!E47</f>
        <v>30000</v>
      </c>
      <c r="E64" s="41"/>
      <c r="H64" s="30"/>
      <c r="I64" s="30"/>
      <c r="J64" s="30"/>
      <c r="Y64"/>
      <c r="Z64"/>
      <c r="AA64"/>
      <c r="AB64"/>
      <c r="AC64"/>
      <c r="AD64"/>
      <c r="AE64"/>
      <c r="AF64"/>
    </row>
    <row r="65" spans="2:32" s="29" customFormat="1" x14ac:dyDescent="0.3">
      <c r="B65" s="8" t="s">
        <v>137</v>
      </c>
      <c r="C65" s="39">
        <f>Virksomhedssetup!D48</f>
        <v>9</v>
      </c>
      <c r="D65" s="39">
        <f>Virksomhedssetup!E48</f>
        <v>9</v>
      </c>
      <c r="E65" s="41"/>
      <c r="H65" s="30"/>
      <c r="I65" s="30"/>
      <c r="J65" s="30"/>
      <c r="Y65"/>
      <c r="Z65"/>
      <c r="AA65"/>
      <c r="AB65"/>
      <c r="AC65"/>
      <c r="AD65"/>
      <c r="AE65"/>
      <c r="AF65"/>
    </row>
    <row r="66" spans="2:32" s="29" customFormat="1" x14ac:dyDescent="0.3">
      <c r="B66" s="5" t="s">
        <v>144</v>
      </c>
      <c r="C66" s="61">
        <f>IF(C32&gt;D15,0,(D15-C32)/(C30))</f>
        <v>0</v>
      </c>
      <c r="D66" s="71"/>
      <c r="E66" s="41"/>
      <c r="H66" s="30"/>
      <c r="I66" s="30"/>
      <c r="J66" s="30"/>
      <c r="Y66"/>
      <c r="Z66"/>
      <c r="AA66"/>
      <c r="AB66"/>
      <c r="AC66"/>
      <c r="AD66"/>
      <c r="AE66"/>
      <c r="AF66"/>
    </row>
    <row r="67" spans="2:32" s="29" customFormat="1" x14ac:dyDescent="0.3">
      <c r="B67" s="5" t="s">
        <v>135</v>
      </c>
      <c r="C67" s="61">
        <f>IF(C66&lt;1.5,0,C66-(0.75*(C65/4.5)))</f>
        <v>0</v>
      </c>
      <c r="D67" s="71"/>
      <c r="E67" s="41"/>
      <c r="H67" s="30"/>
      <c r="I67" s="30"/>
      <c r="J67" s="30"/>
      <c r="Y67"/>
      <c r="Z67"/>
      <c r="AA67"/>
      <c r="AB67"/>
      <c r="AC67"/>
      <c r="AD67"/>
      <c r="AE67"/>
      <c r="AF67"/>
    </row>
    <row r="68" spans="2:32" s="29" customFormat="1" x14ac:dyDescent="0.3">
      <c r="B68" s="5" t="s">
        <v>134</v>
      </c>
      <c r="C68" s="61">
        <f>IF(C67&lt;0,0,(C67/C65)*100)</f>
        <v>0</v>
      </c>
      <c r="D68" s="71"/>
      <c r="E68" s="41"/>
      <c r="H68" s="30"/>
      <c r="I68" s="30"/>
      <c r="J68" s="30"/>
      <c r="Y68"/>
      <c r="Z68"/>
      <c r="AA68"/>
      <c r="AB68"/>
      <c r="AC68"/>
      <c r="AD68"/>
      <c r="AE68"/>
      <c r="AF68"/>
    </row>
    <row r="69" spans="2:32" s="29" customFormat="1" x14ac:dyDescent="0.3">
      <c r="B69" s="9" t="s">
        <v>171</v>
      </c>
      <c r="C69" s="18">
        <f>((C64/100)*(100+C68))</f>
        <v>30000</v>
      </c>
      <c r="D69" s="18">
        <f>((D64/100)*(100+D68))</f>
        <v>30000</v>
      </c>
      <c r="E69" s="41"/>
      <c r="H69" s="30"/>
      <c r="I69" s="30"/>
      <c r="J69" s="30"/>
      <c r="Y69"/>
      <c r="Z69"/>
      <c r="AA69"/>
      <c r="AB69"/>
      <c r="AC69"/>
      <c r="AD69"/>
      <c r="AE69"/>
      <c r="AF69"/>
    </row>
    <row r="70" spans="2:32" s="29" customFormat="1" x14ac:dyDescent="0.3">
      <c r="B70" s="9" t="s">
        <v>172</v>
      </c>
      <c r="C70" s="18">
        <f>C69*12</f>
        <v>360000</v>
      </c>
      <c r="D70" s="18">
        <f t="shared" ref="D70" si="1">D69*12</f>
        <v>360000</v>
      </c>
      <c r="E70" s="41"/>
      <c r="H70" s="30"/>
      <c r="I70" s="30"/>
      <c r="J70" s="30"/>
      <c r="Y70"/>
      <c r="Z70"/>
      <c r="AA70"/>
      <c r="AB70"/>
      <c r="AC70"/>
      <c r="AD70"/>
      <c r="AE70"/>
      <c r="AF70"/>
    </row>
    <row r="71" spans="2:32" s="29" customFormat="1" x14ac:dyDescent="0.3">
      <c r="B71" s="9" t="s">
        <v>173</v>
      </c>
      <c r="C71" s="18">
        <f>C70*$D$11</f>
        <v>2880000</v>
      </c>
      <c r="D71" s="18">
        <f>D70*$D$11</f>
        <v>2880000</v>
      </c>
      <c r="E71" s="41"/>
      <c r="Y71"/>
      <c r="Z71"/>
      <c r="AA71"/>
      <c r="AB71"/>
      <c r="AC71"/>
      <c r="AD71"/>
      <c r="AE71"/>
      <c r="AF71"/>
    </row>
    <row r="72" spans="2:32" s="29" customFormat="1" x14ac:dyDescent="0.3">
      <c r="B72" s="249" t="s">
        <v>24</v>
      </c>
      <c r="C72" s="249"/>
      <c r="D72" s="249"/>
      <c r="E72" s="41"/>
      <c r="Y72"/>
      <c r="Z72"/>
      <c r="AA72"/>
      <c r="AB72"/>
      <c r="AC72"/>
      <c r="AD72"/>
      <c r="AE72"/>
      <c r="AF72"/>
    </row>
    <row r="73" spans="2:32" s="29" customFormat="1" x14ac:dyDescent="0.3">
      <c r="B73" s="8" t="s">
        <v>208</v>
      </c>
      <c r="C73" s="23">
        <f>Virksomhedssetup!D53</f>
        <v>1.0732638888888888</v>
      </c>
      <c r="D73" s="23">
        <f>Virksomhedssetup!E53</f>
        <v>11.4</v>
      </c>
      <c r="E73" s="82"/>
      <c r="Y73"/>
      <c r="Z73"/>
      <c r="AA73"/>
      <c r="AB73"/>
      <c r="AC73"/>
      <c r="AD73"/>
      <c r="AE73"/>
      <c r="AF73"/>
    </row>
    <row r="74" spans="2:32" s="29" customFormat="1" x14ac:dyDescent="0.3">
      <c r="B74" s="8" t="s">
        <v>45</v>
      </c>
      <c r="C74" s="17"/>
      <c r="D74" s="23">
        <f>Virksomhedssetup!E54</f>
        <v>0.11</v>
      </c>
      <c r="E74" s="41"/>
      <c r="Y74"/>
      <c r="Z74"/>
      <c r="AA74"/>
      <c r="AB74"/>
      <c r="AC74"/>
      <c r="AD74"/>
      <c r="AE74"/>
      <c r="AF74"/>
    </row>
    <row r="75" spans="2:32" s="29" customFormat="1" x14ac:dyDescent="0.3">
      <c r="B75" s="5" t="s">
        <v>75</v>
      </c>
      <c r="C75" s="47">
        <f>(((D10/12)/100)*C76)*($C$31*C73)</f>
        <v>10464.322916666666</v>
      </c>
      <c r="D75" s="17"/>
      <c r="E75" s="41"/>
      <c r="Y75"/>
      <c r="Z75"/>
      <c r="AA75"/>
      <c r="AB75"/>
      <c r="AC75"/>
      <c r="AD75"/>
      <c r="AE75"/>
      <c r="AF75"/>
    </row>
    <row r="76" spans="2:32" s="29" customFormat="1" x14ac:dyDescent="0.3">
      <c r="B76" s="8" t="s">
        <v>211</v>
      </c>
      <c r="C76" s="34">
        <f>Virksomhedssetup!D56</f>
        <v>100</v>
      </c>
      <c r="D76" s="17"/>
      <c r="E76" s="41"/>
      <c r="Y76"/>
      <c r="Z76"/>
      <c r="AA76"/>
      <c r="AB76"/>
      <c r="AC76"/>
      <c r="AD76"/>
      <c r="AE76"/>
      <c r="AF76"/>
    </row>
    <row r="77" spans="2:32" s="29" customFormat="1" x14ac:dyDescent="0.3">
      <c r="B77" s="8" t="s">
        <v>46</v>
      </c>
      <c r="C77" s="23">
        <f>Virksomhedssetup!D57</f>
        <v>4.22</v>
      </c>
      <c r="D77" s="17"/>
      <c r="E77" s="41"/>
      <c r="Y77"/>
      <c r="Z77"/>
      <c r="AA77"/>
      <c r="AB77"/>
      <c r="AC77"/>
      <c r="AD77"/>
      <c r="AE77"/>
      <c r="AF77"/>
    </row>
    <row r="78" spans="2:32" s="29" customFormat="1" x14ac:dyDescent="0.3">
      <c r="B78" s="5" t="s">
        <v>74</v>
      </c>
      <c r="C78" s="47">
        <f>(((D10/12)/100)*(100-C76)*(C31*C77))</f>
        <v>0</v>
      </c>
      <c r="D78" s="17"/>
      <c r="E78" s="41"/>
      <c r="F78"/>
      <c r="G78"/>
      <c r="H78"/>
      <c r="I78"/>
      <c r="J78"/>
      <c r="Y78"/>
      <c r="Z78"/>
      <c r="AA78"/>
      <c r="AB78"/>
      <c r="AC78"/>
      <c r="AD78"/>
      <c r="AE78"/>
      <c r="AF78"/>
    </row>
    <row r="79" spans="2:32" s="29" customFormat="1" x14ac:dyDescent="0.3">
      <c r="B79" s="9" t="s">
        <v>76</v>
      </c>
      <c r="C79" s="18">
        <f>C75+C78</f>
        <v>10464.322916666666</v>
      </c>
      <c r="D79" s="18">
        <f>((D31*D73)*($D$10/12))+($D$10/12)*D74</f>
        <v>25449</v>
      </c>
      <c r="E79" s="41"/>
      <c r="Y79"/>
      <c r="Z79"/>
      <c r="AA79"/>
      <c r="AB79"/>
      <c r="AC79"/>
      <c r="AD79"/>
      <c r="AE79"/>
      <c r="AF79"/>
    </row>
    <row r="80" spans="2:32" s="29" customFormat="1" x14ac:dyDescent="0.3">
      <c r="B80" s="9" t="s">
        <v>77</v>
      </c>
      <c r="C80" s="18">
        <f>C79*12</f>
        <v>125571.875</v>
      </c>
      <c r="D80" s="18">
        <f>D79*12</f>
        <v>305388</v>
      </c>
      <c r="E80" s="41"/>
      <c r="F80" s="41"/>
      <c r="G80" s="41"/>
      <c r="H80" s="41"/>
      <c r="I80" s="41"/>
      <c r="J80" s="41"/>
      <c r="Y80"/>
      <c r="Z80"/>
      <c r="AA80"/>
      <c r="AB80"/>
      <c r="AC80"/>
      <c r="AD80"/>
      <c r="AE80"/>
      <c r="AF80"/>
    </row>
    <row r="81" spans="2:32" s="29" customFormat="1" x14ac:dyDescent="0.3">
      <c r="B81" s="9" t="s">
        <v>78</v>
      </c>
      <c r="C81" s="18">
        <f>C80*D11</f>
        <v>1004575</v>
      </c>
      <c r="D81" s="18">
        <f>D80*D11</f>
        <v>2443104</v>
      </c>
      <c r="E81" s="41"/>
      <c r="F81" s="41"/>
      <c r="G81" s="41"/>
      <c r="H81" s="41"/>
      <c r="I81" s="41"/>
      <c r="J81" s="41"/>
      <c r="Y81"/>
      <c r="Z81"/>
      <c r="AA81"/>
      <c r="AB81"/>
      <c r="AC81"/>
      <c r="AD81"/>
      <c r="AE81"/>
      <c r="AF81"/>
    </row>
    <row r="82" spans="2:32" s="29" customFormat="1" x14ac:dyDescent="0.3">
      <c r="B82" s="250" t="s">
        <v>25</v>
      </c>
      <c r="C82" s="251"/>
      <c r="D82" s="251"/>
      <c r="E82" s="41"/>
      <c r="F82" s="41"/>
      <c r="G82" s="41"/>
      <c r="H82" s="41"/>
      <c r="I82" s="41"/>
      <c r="J82" s="41"/>
      <c r="Y82"/>
      <c r="Z82"/>
      <c r="AA82"/>
      <c r="AB82"/>
      <c r="AC82"/>
      <c r="AD82"/>
      <c r="AE82"/>
      <c r="AF82"/>
    </row>
    <row r="83" spans="2:32" s="29" customFormat="1" x14ac:dyDescent="0.3">
      <c r="B83" s="8" t="s">
        <v>88</v>
      </c>
      <c r="C83" s="16">
        <f>Virksomhedssetup!D61</f>
        <v>7685</v>
      </c>
      <c r="D83" s="16">
        <f>Virksomhedssetup!E61</f>
        <v>5000</v>
      </c>
      <c r="E83" s="41"/>
      <c r="F83" s="41"/>
      <c r="G83" s="41"/>
      <c r="H83" s="41"/>
      <c r="I83" s="41"/>
      <c r="J83" s="41"/>
      <c r="Y83"/>
      <c r="Z83"/>
      <c r="AA83"/>
      <c r="AB83"/>
      <c r="AC83"/>
      <c r="AD83"/>
      <c r="AE83"/>
      <c r="AF83"/>
    </row>
    <row r="84" spans="2:32" s="29" customFormat="1" x14ac:dyDescent="0.3">
      <c r="B84" s="8" t="s">
        <v>89</v>
      </c>
      <c r="C84" s="38">
        <f>Virksomhedssetup!D62</f>
        <v>1.4999999999999999E-2</v>
      </c>
      <c r="D84" s="38">
        <f>Virksomhedssetup!E62</f>
        <v>1.4999999999999999E-2</v>
      </c>
      <c r="E84"/>
      <c r="F84"/>
      <c r="G84"/>
      <c r="H84"/>
      <c r="I84"/>
      <c r="J84"/>
      <c r="Y84"/>
      <c r="Z84"/>
      <c r="AA84"/>
      <c r="AB84"/>
      <c r="AC84"/>
      <c r="AD84"/>
      <c r="AE84"/>
      <c r="AF84"/>
    </row>
    <row r="85" spans="2:32" s="29" customFormat="1" x14ac:dyDescent="0.3">
      <c r="B85" s="8" t="s">
        <v>34</v>
      </c>
      <c r="C85" s="14">
        <f>Virksomhedssetup!D63</f>
        <v>8</v>
      </c>
      <c r="D85" s="14">
        <f>Virksomhedssetup!E63</f>
        <v>8</v>
      </c>
      <c r="E85"/>
      <c r="F85"/>
      <c r="G85"/>
      <c r="H85"/>
      <c r="I85"/>
      <c r="J85"/>
      <c r="Y85"/>
      <c r="Z85"/>
      <c r="AA85"/>
      <c r="AB85"/>
      <c r="AC85"/>
      <c r="AD85"/>
      <c r="AE85"/>
      <c r="AF85"/>
    </row>
    <row r="86" spans="2:32" s="29" customFormat="1" x14ac:dyDescent="0.3">
      <c r="B86" s="5" t="s">
        <v>90</v>
      </c>
      <c r="C86" s="47">
        <f>(C84*C85)*D12</f>
        <v>900</v>
      </c>
      <c r="D86" s="47">
        <f>(D84*D85)*D12</f>
        <v>900</v>
      </c>
      <c r="E86"/>
      <c r="F86"/>
      <c r="G86"/>
      <c r="H86"/>
      <c r="I86"/>
      <c r="J86"/>
      <c r="Y86"/>
      <c r="Z86"/>
      <c r="AA86"/>
      <c r="AB86"/>
      <c r="AC86"/>
      <c r="AD86"/>
      <c r="AE86"/>
      <c r="AF86"/>
    </row>
    <row r="87" spans="2:32" s="29" customFormat="1" x14ac:dyDescent="0.3">
      <c r="B87" s="8" t="s">
        <v>91</v>
      </c>
      <c r="C87" s="16">
        <f>Virksomhedssetup!D65</f>
        <v>1476</v>
      </c>
      <c r="D87" s="16">
        <f>Virksomhedssetup!E65</f>
        <v>768</v>
      </c>
      <c r="E87"/>
      <c r="F87"/>
      <c r="G87"/>
      <c r="H87"/>
      <c r="I87"/>
      <c r="J87"/>
      <c r="Y87"/>
      <c r="Z87"/>
      <c r="AA87"/>
      <c r="AB87"/>
      <c r="AC87"/>
      <c r="AD87"/>
      <c r="AE87"/>
      <c r="AF87"/>
    </row>
    <row r="88" spans="2:32" ht="16.2" x14ac:dyDescent="0.3">
      <c r="B88" s="9" t="s">
        <v>84</v>
      </c>
      <c r="C88" s="19">
        <f>C83+C87+C86</f>
        <v>10061</v>
      </c>
      <c r="D88" s="19">
        <f>D83+D87+D86</f>
        <v>6668</v>
      </c>
    </row>
    <row r="89" spans="2:32" ht="16.2" x14ac:dyDescent="0.3">
      <c r="B89" s="9" t="s">
        <v>85</v>
      </c>
      <c r="C89" s="19">
        <f>C88*12</f>
        <v>120732</v>
      </c>
      <c r="D89" s="19">
        <f>D88*12</f>
        <v>80016</v>
      </c>
    </row>
    <row r="90" spans="2:32" ht="16.2" x14ac:dyDescent="0.3">
      <c r="B90" s="9" t="s">
        <v>86</v>
      </c>
      <c r="C90" s="19">
        <f>C89*$D$11</f>
        <v>965856</v>
      </c>
      <c r="D90" s="19">
        <f>D89*$D$11</f>
        <v>640128</v>
      </c>
    </row>
    <row r="91" spans="2:32" x14ac:dyDescent="0.3">
      <c r="B91" s="250" t="s">
        <v>175</v>
      </c>
      <c r="C91" s="251"/>
      <c r="D91" s="251"/>
    </row>
    <row r="92" spans="2:32" ht="16.2" x14ac:dyDescent="0.45">
      <c r="B92" s="9" t="s">
        <v>47</v>
      </c>
      <c r="C92" s="40">
        <f>H48*$D$12</f>
        <v>3270.5272945459847</v>
      </c>
      <c r="D92" s="40">
        <f>H49*$D$12</f>
        <v>13282.454231138461</v>
      </c>
    </row>
    <row r="93" spans="2:32" ht="16.2" x14ac:dyDescent="0.45">
      <c r="B93" s="9" t="s">
        <v>48</v>
      </c>
      <c r="C93" s="40">
        <f>C92*12</f>
        <v>39246.32753455182</v>
      </c>
      <c r="D93" s="40">
        <f>D92*12</f>
        <v>159389.45077366155</v>
      </c>
    </row>
    <row r="94" spans="2:32" ht="16.2" x14ac:dyDescent="0.45">
      <c r="B94" s="9" t="s">
        <v>79</v>
      </c>
      <c r="C94" s="40">
        <f>C93*$D$11</f>
        <v>313970.62027641456</v>
      </c>
      <c r="D94" s="40">
        <f>D93*$D$11</f>
        <v>1275115.6061892924</v>
      </c>
    </row>
    <row r="95" spans="2:32" x14ac:dyDescent="0.3">
      <c r="B95" s="317" t="s">
        <v>33</v>
      </c>
      <c r="C95" s="318"/>
      <c r="D95" s="318"/>
    </row>
    <row r="96" spans="2:32" x14ac:dyDescent="0.3">
      <c r="B96" s="9" t="s">
        <v>49</v>
      </c>
      <c r="C96" s="18">
        <f t="shared" ref="C96:D98" si="2">C50+C59+C69+C79+C88+C92</f>
        <v>88722.346930944972</v>
      </c>
      <c r="D96" s="18">
        <f t="shared" si="2"/>
        <v>87796.069640369184</v>
      </c>
      <c r="AF96" s="29"/>
    </row>
    <row r="97" spans="2:6" x14ac:dyDescent="0.3">
      <c r="B97" s="9" t="s">
        <v>50</v>
      </c>
      <c r="C97" s="18">
        <f t="shared" si="2"/>
        <v>1064668.1631713395</v>
      </c>
      <c r="D97" s="18">
        <f t="shared" si="2"/>
        <v>1053552.8356844301</v>
      </c>
    </row>
    <row r="98" spans="2:6" x14ac:dyDescent="0.3">
      <c r="B98" s="9" t="s">
        <v>69</v>
      </c>
      <c r="C98" s="18">
        <f t="shared" si="2"/>
        <v>8517345.3053707164</v>
      </c>
      <c r="D98" s="18">
        <f t="shared" si="2"/>
        <v>8428422.6854754407</v>
      </c>
    </row>
    <row r="106" spans="2:6" x14ac:dyDescent="0.3">
      <c r="E106" s="36"/>
    </row>
    <row r="109" spans="2:6" x14ac:dyDescent="0.3">
      <c r="F109" s="10"/>
    </row>
  </sheetData>
  <mergeCells count="43">
    <mergeCell ref="F20:I20"/>
    <mergeCell ref="G21:H21"/>
    <mergeCell ref="G22:H22"/>
    <mergeCell ref="F26:I26"/>
    <mergeCell ref="G27:H27"/>
    <mergeCell ref="G23:H23"/>
    <mergeCell ref="G24:H24"/>
    <mergeCell ref="F11:H11"/>
    <mergeCell ref="F6:H6"/>
    <mergeCell ref="F7:I7"/>
    <mergeCell ref="F8:H8"/>
    <mergeCell ref="F9:H9"/>
    <mergeCell ref="F10:H10"/>
    <mergeCell ref="B2:D2"/>
    <mergeCell ref="B4:D4"/>
    <mergeCell ref="B5:C5"/>
    <mergeCell ref="F2:I2"/>
    <mergeCell ref="F3:I3"/>
    <mergeCell ref="F5:I5"/>
    <mergeCell ref="B6:C6"/>
    <mergeCell ref="B7:C7"/>
    <mergeCell ref="B8:C8"/>
    <mergeCell ref="B10:C10"/>
    <mergeCell ref="B11:C11"/>
    <mergeCell ref="B12:C12"/>
    <mergeCell ref="B13:C13"/>
    <mergeCell ref="B14:C14"/>
    <mergeCell ref="B62:D62"/>
    <mergeCell ref="B27:D27"/>
    <mergeCell ref="B39:D39"/>
    <mergeCell ref="B15:C15"/>
    <mergeCell ref="B40:D40"/>
    <mergeCell ref="B53:D53"/>
    <mergeCell ref="B82:D82"/>
    <mergeCell ref="B91:D91"/>
    <mergeCell ref="B95:D95"/>
    <mergeCell ref="B63:D63"/>
    <mergeCell ref="B72:D72"/>
    <mergeCell ref="G28:H28"/>
    <mergeCell ref="G29:H29"/>
    <mergeCell ref="G30:H30"/>
    <mergeCell ref="G31:H31"/>
    <mergeCell ref="F44:F46"/>
  </mergeCells>
  <conditionalFormatting sqref="G22 I22">
    <cfRule type="colorScale" priority="3">
      <colorScale>
        <cfvo type="min"/>
        <cfvo type="percentile" val="50"/>
        <cfvo type="max"/>
        <color rgb="FF63BE7B"/>
        <color rgb="FFFFEB84"/>
        <color rgb="FFF8696B"/>
      </colorScale>
    </cfRule>
  </conditionalFormatting>
  <conditionalFormatting sqref="G23 I23">
    <cfRule type="colorScale" priority="1">
      <colorScale>
        <cfvo type="min"/>
        <cfvo type="percentile" val="50"/>
        <cfvo type="max"/>
        <color rgb="FF63BE7B"/>
        <color rgb="FFFFEB84"/>
        <color rgb="FFF8696B"/>
      </colorScale>
    </cfRule>
  </conditionalFormatting>
  <conditionalFormatting sqref="G24 I24">
    <cfRule type="colorScale" priority="4">
      <colorScale>
        <cfvo type="min"/>
        <cfvo type="percentile" val="50"/>
        <cfvo type="max"/>
        <color rgb="FF63BE7B"/>
        <color rgb="FFFFEB84"/>
        <color rgb="FFF8696B"/>
      </colorScale>
    </cfRule>
  </conditionalFormatting>
  <conditionalFormatting sqref="G28 I28">
    <cfRule type="colorScale" priority="8">
      <colorScale>
        <cfvo type="min"/>
        <cfvo type="percentile" val="50"/>
        <cfvo type="max"/>
        <color rgb="FF63BE7B"/>
        <color rgb="FFFFEB84"/>
        <color rgb="FFF8696B"/>
      </colorScale>
    </cfRule>
  </conditionalFormatting>
  <conditionalFormatting sqref="G29 I29">
    <cfRule type="colorScale" priority="7">
      <colorScale>
        <cfvo type="min"/>
        <cfvo type="percentile" val="50"/>
        <cfvo type="max"/>
        <color rgb="FF63BE7B"/>
        <color rgb="FFFFEB84"/>
        <color rgb="FFF8696B"/>
      </colorScale>
    </cfRule>
  </conditionalFormatting>
  <conditionalFormatting sqref="G30 I30">
    <cfRule type="colorScale" priority="6">
      <colorScale>
        <cfvo type="min"/>
        <cfvo type="percentile" val="50"/>
        <cfvo type="max"/>
        <color rgb="FF63BE7B"/>
        <color rgb="FFFFEB84"/>
        <color rgb="FFF8696B"/>
      </colorScale>
    </cfRule>
  </conditionalFormatting>
  <conditionalFormatting sqref="G31 I31">
    <cfRule type="colorScale" priority="5">
      <colorScale>
        <cfvo type="min"/>
        <cfvo type="percentile" val="50"/>
        <cfvo type="max"/>
        <color rgb="FF63BE7B"/>
        <color rgb="FFFFEB84"/>
        <color rgb="FFF8696B"/>
      </colorScale>
    </cfRule>
  </conditionalFormatting>
  <conditionalFormatting sqref="I8">
    <cfRule type="colorScale" priority="17">
      <colorScale>
        <cfvo type="min"/>
        <cfvo type="num" val="0"/>
        <cfvo type="max"/>
        <color rgb="FFFF0000"/>
        <color theme="0"/>
        <color rgb="FF00B050"/>
      </colorScale>
    </cfRule>
    <cfRule type="colorScale" priority="19">
      <colorScale>
        <cfvo type="min"/>
        <cfvo type="num" val="0"/>
        <cfvo type="max"/>
        <color rgb="FFFF0000"/>
        <color rgb="FFFFEB84"/>
        <color rgb="FF00B050"/>
      </colorScale>
    </cfRule>
    <cfRule type="colorScale" priority="20">
      <colorScale>
        <cfvo type="min"/>
        <cfvo type="num" val="0"/>
        <cfvo type="max"/>
        <color rgb="FFFF0000"/>
        <color theme="0"/>
        <color rgb="FF00B050"/>
      </colorScale>
    </cfRule>
  </conditionalFormatting>
  <conditionalFormatting sqref="I9:I11">
    <cfRule type="colorScale" priority="23">
      <colorScale>
        <cfvo type="num" val="-1"/>
        <cfvo type="num" val="0"/>
        <cfvo type="num" val="1"/>
        <color rgb="FFFF0000"/>
        <color rgb="FFFFFF00"/>
        <color rgb="FF00B050"/>
      </colorScale>
    </cfRule>
    <cfRule type="colorScale" priority="24">
      <colorScale>
        <cfvo type="min"/>
        <cfvo type="num" val="0"/>
        <cfvo type="max"/>
        <color rgb="FFFF0000"/>
        <color rgb="FFFFFF00"/>
        <color rgb="FF00B050"/>
      </colorScale>
    </cfRule>
  </conditionalFormatting>
  <hyperlinks>
    <hyperlink ref="F3" r:id="rId1" display="Har du spørgsmål til beregningen kan du henvende dig til lucas.perkild@regionh.dk" xr:uid="{41015991-8001-488B-9685-EB8D6E56A382}"/>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2B5A0-C854-4DFE-BE30-293A2E650639}">
  <sheetPr codeName="Sheet16"/>
  <dimension ref="B2:AH92"/>
  <sheetViews>
    <sheetView showGridLines="0" zoomScaleNormal="100" workbookViewId="0">
      <selection activeCell="M16" sqref="M16"/>
    </sheetView>
  </sheetViews>
  <sheetFormatPr defaultColWidth="8.88671875" defaultRowHeight="14.4" x14ac:dyDescent="0.3"/>
  <cols>
    <col min="1" max="1" width="2.109375" customWidth="1"/>
    <col min="2" max="2" width="34.109375" bestFit="1" customWidth="1"/>
    <col min="3" max="3" width="22.21875" bestFit="1" customWidth="1"/>
    <col min="4" max="4" width="129.5546875" bestFit="1" customWidth="1"/>
    <col min="6" max="6" width="5.88671875" bestFit="1" customWidth="1"/>
    <col min="7" max="7" width="10.33203125" bestFit="1" customWidth="1"/>
    <col min="8" max="12" width="10.33203125" style="29" bestFit="1" customWidth="1"/>
    <col min="13" max="13" width="13.5546875" bestFit="1" customWidth="1"/>
    <col min="14" max="14" width="13.44140625" bestFit="1" customWidth="1"/>
    <col min="15" max="15" width="32.21875" bestFit="1" customWidth="1"/>
    <col min="16" max="16" width="12.77734375" bestFit="1" customWidth="1"/>
    <col min="17" max="17" width="5.5546875" bestFit="1" customWidth="1"/>
    <col min="18" max="18" width="24" bestFit="1" customWidth="1"/>
    <col min="19" max="19" width="13.109375" bestFit="1" customWidth="1"/>
    <col min="20" max="20" width="15.109375" bestFit="1" customWidth="1"/>
    <col min="21" max="21" width="15.88671875" bestFit="1" customWidth="1"/>
    <col min="22" max="22" width="9.6640625" bestFit="1" customWidth="1"/>
    <col min="23" max="23" width="17.44140625" bestFit="1" customWidth="1"/>
    <col min="24" max="24" width="11.44140625" bestFit="1" customWidth="1"/>
    <col min="25" max="25" width="6" bestFit="1" customWidth="1"/>
    <col min="26" max="26" width="10.109375" bestFit="1" customWidth="1"/>
    <col min="28" max="28" width="5.88671875" bestFit="1" customWidth="1"/>
    <col min="29" max="34" width="5.44140625" bestFit="1" customWidth="1"/>
  </cols>
  <sheetData>
    <row r="2" spans="2:34" ht="23.4" x14ac:dyDescent="0.45">
      <c r="B2" s="236" t="s">
        <v>32</v>
      </c>
      <c r="C2" s="236"/>
      <c r="D2" s="236"/>
      <c r="O2" s="98" t="s">
        <v>20</v>
      </c>
      <c r="P2" s="99"/>
      <c r="Q2" s="29"/>
      <c r="R2" s="50" t="s">
        <v>28</v>
      </c>
      <c r="S2" s="50" t="s">
        <v>130</v>
      </c>
      <c r="T2" s="50" t="s">
        <v>27</v>
      </c>
      <c r="U2" s="50" t="s">
        <v>126</v>
      </c>
      <c r="V2" s="50" t="s">
        <v>24</v>
      </c>
      <c r="W2" s="50" t="s">
        <v>25</v>
      </c>
      <c r="X2" s="50" t="s">
        <v>22</v>
      </c>
      <c r="Y2" s="50" t="s">
        <v>21</v>
      </c>
      <c r="Z2" s="50"/>
      <c r="AB2" s="50"/>
      <c r="AC2" s="20">
        <v>2024</v>
      </c>
      <c r="AD2" s="20">
        <v>2025</v>
      </c>
      <c r="AE2" s="20">
        <v>2026</v>
      </c>
      <c r="AF2" s="20">
        <v>2027</v>
      </c>
      <c r="AG2" s="20">
        <v>2028</v>
      </c>
      <c r="AH2" s="20">
        <v>2029</v>
      </c>
    </row>
    <row r="3" spans="2:34" x14ac:dyDescent="0.3">
      <c r="B3" s="245" t="s">
        <v>145</v>
      </c>
      <c r="C3" s="245"/>
      <c r="D3" s="245"/>
      <c r="O3" s="84" t="s">
        <v>115</v>
      </c>
      <c r="P3" s="97"/>
      <c r="Q3" s="29"/>
      <c r="R3" s="51">
        <v>2024</v>
      </c>
      <c r="S3" s="52">
        <f>'2024'!H41</f>
        <v>4.3118662292976424</v>
      </c>
      <c r="T3" s="52">
        <f>'2024'!I41</f>
        <v>0.34499999999999997</v>
      </c>
      <c r="U3" s="52">
        <f>'2024'!J41</f>
        <v>4</v>
      </c>
      <c r="V3" s="52">
        <f>'2024'!F45</f>
        <v>1.3952430555555555</v>
      </c>
      <c r="W3" s="52">
        <f>'2024'!G45</f>
        <v>1.3414666666666666</v>
      </c>
      <c r="X3" s="52">
        <f>'2024'!H45</f>
        <v>0.17710363927279796</v>
      </c>
      <c r="Y3" s="50">
        <v>1E-14</v>
      </c>
      <c r="Z3" s="53" t="str">
        <f>"Total "&amp;ROUND(S3+T3+U3+V3+W3+X3,2)</f>
        <v>Total 11,57</v>
      </c>
      <c r="AB3" s="51" t="s">
        <v>14</v>
      </c>
      <c r="AC3" s="52">
        <f>ROUND($S$3+$T$3+U3+$V$3+$W$3+$X$3,2)</f>
        <v>11.57</v>
      </c>
      <c r="AD3" s="52">
        <f>ROUND($S$4+$T$4+U4+$V$4+$W$4+$X$4,2)</f>
        <v>11.67</v>
      </c>
      <c r="AE3" s="52">
        <f>ROUND($S$5+$T$5+U5+$V$5+$W$5+$X$5,2)</f>
        <v>11.67</v>
      </c>
      <c r="AF3" s="52">
        <f>ROUND($S$6+$T$6+U6+$V$6+$W$6+$X$6,2)</f>
        <v>11.67</v>
      </c>
      <c r="AG3" s="52">
        <f>ROUND($S$7+$T$7+$U$7+$V$7+$W$7+$X$7,2)</f>
        <v>11.75</v>
      </c>
      <c r="AH3" s="52">
        <f>ROUND($S$8+$T$8+$U$8+$V$8+$W$8+$X$8,2)</f>
        <v>11.83</v>
      </c>
    </row>
    <row r="4" spans="2:34" x14ac:dyDescent="0.3">
      <c r="B4" s="20" t="s">
        <v>212</v>
      </c>
      <c r="C4" s="22" t="s">
        <v>213</v>
      </c>
      <c r="D4" s="113" t="s">
        <v>18</v>
      </c>
      <c r="F4" s="321" t="s">
        <v>238</v>
      </c>
      <c r="G4" s="321"/>
      <c r="H4" s="321"/>
      <c r="I4" s="321"/>
      <c r="J4" s="321"/>
      <c r="K4" s="321"/>
      <c r="L4" s="321"/>
      <c r="O4" s="5" t="s">
        <v>8</v>
      </c>
      <c r="P4" s="24">
        <f>'2024'!S13</f>
        <v>-2162868.6058081533</v>
      </c>
      <c r="Q4" s="29"/>
      <c r="R4" s="51">
        <v>2025</v>
      </c>
      <c r="S4" s="52">
        <f>'2025'!H41</f>
        <v>4.3118662292976424</v>
      </c>
      <c r="T4" s="52">
        <f>'2025'!I41</f>
        <v>0.34499999999999997</v>
      </c>
      <c r="U4" s="52">
        <f>'2025'!J41</f>
        <v>4</v>
      </c>
      <c r="V4" s="52">
        <f>'2025'!F45</f>
        <v>1.3952430555555555</v>
      </c>
      <c r="W4" s="52">
        <f>'2025'!G45</f>
        <v>1.3414666666666666</v>
      </c>
      <c r="X4" s="52">
        <f>'2025'!H45</f>
        <v>0.27557030593946463</v>
      </c>
      <c r="Y4" s="50">
        <v>1E-14</v>
      </c>
      <c r="Z4" s="53" t="str">
        <f>"Total "&amp;ROUND(S4+T4+U4+V4+W4+X4,2)</f>
        <v>Total 11,67</v>
      </c>
      <c r="AB4" s="51" t="s">
        <v>15</v>
      </c>
      <c r="AC4" s="52">
        <f>ROUND($S$12+$T$12+U12+$V$12+$W$12+$X$12,2)</f>
        <v>10.09</v>
      </c>
      <c r="AD4" s="52">
        <f>ROUND($S$13+$T$13+U13+$V$13+$W$13+$X$13,2)</f>
        <v>10.94</v>
      </c>
      <c r="AE4" s="52">
        <f>ROUND($S$14+$T$14+U14+$V$14+$W$14+$X$14,2)</f>
        <v>10.94</v>
      </c>
      <c r="AF4" s="52">
        <f>ROUND($S$15+$T$15+U15+$V$15+$W$15+$X$15,2)</f>
        <v>10.94</v>
      </c>
      <c r="AG4" s="52">
        <f>ROUND($S$16+$T$16+$U$16+$V$16+$W$16+$X$16,2)</f>
        <v>11.52</v>
      </c>
      <c r="AH4" s="52">
        <f>ROUND($S$17+$T$17+$U$17+$V$17+$W$17+$X$17,2)</f>
        <v>11.71</v>
      </c>
    </row>
    <row r="5" spans="2:34" x14ac:dyDescent="0.3">
      <c r="B5" s="35" t="s">
        <v>15</v>
      </c>
      <c r="C5" s="37">
        <v>10.9</v>
      </c>
      <c r="D5" s="86" t="s">
        <v>17</v>
      </c>
      <c r="F5" s="54"/>
      <c r="G5" s="20">
        <v>2024</v>
      </c>
      <c r="H5" s="20">
        <v>2025</v>
      </c>
      <c r="I5" s="20">
        <v>2026</v>
      </c>
      <c r="J5" s="20">
        <v>2027</v>
      </c>
      <c r="K5" s="20">
        <v>2028</v>
      </c>
      <c r="L5" s="20">
        <v>2029</v>
      </c>
      <c r="O5" s="5" t="s">
        <v>13</v>
      </c>
      <c r="P5" s="24">
        <f>('2024'!D56+'2024'!$D$66+'2024'!$D$75+'2024'!$D$82)-('2024'!C56+'2024'!$C$66+'2024'!$C$75+'2024'!$C$82)</f>
        <v>11427.604019925806</v>
      </c>
      <c r="Q5" s="29"/>
      <c r="R5" s="51">
        <v>2026</v>
      </c>
      <c r="S5" s="52">
        <f>'2026'!H41</f>
        <v>4.3118662292976424</v>
      </c>
      <c r="T5" s="52">
        <f>'2026'!I41</f>
        <v>0.34499999999999997</v>
      </c>
      <c r="U5" s="52">
        <f>'2026'!J41</f>
        <v>4</v>
      </c>
      <c r="V5" s="52">
        <f>'2026'!F45</f>
        <v>1.3952430555555555</v>
      </c>
      <c r="W5" s="52">
        <f>'2026'!G45</f>
        <v>1.3414666666666666</v>
      </c>
      <c r="X5" s="52">
        <f>'2026'!H45</f>
        <v>0.27557030593946463</v>
      </c>
      <c r="Y5" s="50">
        <v>1E-14</v>
      </c>
      <c r="Z5" s="53" t="str">
        <f>"Total "&amp;ROUND(S5+T5+U5+V5+W5+X5,2)</f>
        <v>Total 11,67</v>
      </c>
    </row>
    <row r="6" spans="2:34" ht="16.2" x14ac:dyDescent="0.45">
      <c r="B6" s="1" t="s">
        <v>12</v>
      </c>
      <c r="C6" s="21">
        <v>7.32</v>
      </c>
      <c r="D6" s="112" t="s">
        <v>17</v>
      </c>
      <c r="F6" s="54" t="s">
        <v>14</v>
      </c>
      <c r="G6" s="95">
        <f>'2024'!G7</f>
        <v>11.570679590792661</v>
      </c>
      <c r="H6" s="95">
        <f>'2025'!G7</f>
        <v>11.669146257459328</v>
      </c>
      <c r="I6" s="95">
        <f>'2026'!G7</f>
        <v>11.669146257459328</v>
      </c>
      <c r="J6" s="95">
        <f>'2027'!G7</f>
        <v>11.669146257459328</v>
      </c>
      <c r="K6" s="95">
        <f>'2028'!G7</f>
        <v>11.754760043467559</v>
      </c>
      <c r="L6" s="95">
        <f>'2029'!G7</f>
        <v>11.829646257459329</v>
      </c>
      <c r="O6" s="25" t="s">
        <v>2</v>
      </c>
      <c r="P6" s="26">
        <f>(P4-P4-P4)/P5</f>
        <v>189.26702413181761</v>
      </c>
      <c r="Q6" s="29"/>
      <c r="R6" s="51">
        <v>2027</v>
      </c>
      <c r="S6" s="52">
        <f>'2027'!H41</f>
        <v>4.3118662292976424</v>
      </c>
      <c r="T6" s="52">
        <f>'2027'!I41</f>
        <v>0.34499999999999997</v>
      </c>
      <c r="U6" s="52">
        <f>'2027'!J41</f>
        <v>4</v>
      </c>
      <c r="V6" s="52">
        <f>'2027'!F45</f>
        <v>1.3952430555555555</v>
      </c>
      <c r="W6" s="52">
        <f>'2027'!G45</f>
        <v>1.3414666666666666</v>
      </c>
      <c r="X6" s="52">
        <f>'2027'!H45</f>
        <v>0.27557030593946463</v>
      </c>
      <c r="Y6" s="50">
        <v>1E-14</v>
      </c>
      <c r="Z6" s="53" t="str">
        <f>"Total "&amp;ROUND(S6+T6+U6+V6+W6+X6,2)</f>
        <v>Total 11,67</v>
      </c>
    </row>
    <row r="7" spans="2:34" ht="16.2" x14ac:dyDescent="0.45">
      <c r="B7" s="35" t="s">
        <v>16</v>
      </c>
      <c r="C7" s="37">
        <v>22.37</v>
      </c>
      <c r="D7" s="86" t="s">
        <v>17</v>
      </c>
      <c r="F7" s="54" t="s">
        <v>15</v>
      </c>
      <c r="G7" s="95">
        <f>'2024'!I7</f>
        <v>10.090375952049223</v>
      </c>
      <c r="H7" s="95">
        <f>'2025'!I7</f>
        <v>10.94054261871589</v>
      </c>
      <c r="I7" s="95">
        <f>'2026'!I7</f>
        <v>10.94054261871589</v>
      </c>
      <c r="J7" s="95">
        <f>'2027'!I7</f>
        <v>10.94054261871589</v>
      </c>
      <c r="K7" s="95">
        <f>'2028'!I7</f>
        <v>11.520406930891122</v>
      </c>
      <c r="L7" s="95">
        <f>'2029'!I7</f>
        <v>11.706142618715891</v>
      </c>
      <c r="O7" s="25" t="s">
        <v>11</v>
      </c>
      <c r="P7" s="27">
        <f>P6/12</f>
        <v>15.772252010984801</v>
      </c>
      <c r="Q7" s="29"/>
      <c r="R7" s="51">
        <v>2028</v>
      </c>
      <c r="S7" s="52">
        <f>'2028'!H41</f>
        <v>4.3118662292976424</v>
      </c>
      <c r="T7" s="52">
        <f>'2028'!I41</f>
        <v>0.34499999999999997</v>
      </c>
      <c r="U7" s="52">
        <f>'2028'!J41</f>
        <v>4</v>
      </c>
      <c r="V7" s="52">
        <f>'2028'!F45</f>
        <v>1.3952430555555555</v>
      </c>
      <c r="W7" s="52">
        <f>'2028'!G45</f>
        <v>1.3414666666666666</v>
      </c>
      <c r="X7" s="52">
        <f>'2028'!H45</f>
        <v>0.36118409194769513</v>
      </c>
      <c r="Y7" s="50">
        <v>1E-14</v>
      </c>
      <c r="Z7" s="53" t="str">
        <f>"Total "&amp;ROUND(S7+T7+U7+V7+W7+X7,2)</f>
        <v>Total 11,75</v>
      </c>
      <c r="AB7" s="50"/>
      <c r="AC7" s="20">
        <v>2025</v>
      </c>
      <c r="AD7" s="20">
        <v>2026</v>
      </c>
      <c r="AE7" s="20">
        <v>2027</v>
      </c>
      <c r="AF7" s="20">
        <v>2028</v>
      </c>
      <c r="AG7" s="20">
        <v>2029</v>
      </c>
    </row>
    <row r="8" spans="2:34" x14ac:dyDescent="0.3">
      <c r="B8" s="1" t="s">
        <v>120</v>
      </c>
      <c r="C8" s="21">
        <v>1.07</v>
      </c>
      <c r="D8" s="1" t="s">
        <v>66</v>
      </c>
      <c r="F8" s="29"/>
      <c r="G8" s="29"/>
      <c r="J8"/>
      <c r="K8"/>
      <c r="L8"/>
      <c r="O8" s="84" t="s">
        <v>116</v>
      </c>
      <c r="P8" s="97"/>
      <c r="Q8" s="29"/>
      <c r="R8" s="51">
        <v>2029</v>
      </c>
      <c r="S8" s="52">
        <f>'2029'!H41</f>
        <v>4.3118662292976424</v>
      </c>
      <c r="T8" s="52">
        <f>'2029'!I41</f>
        <v>0.34499999999999997</v>
      </c>
      <c r="U8" s="52">
        <f>'2029'!J41</f>
        <v>4</v>
      </c>
      <c r="V8" s="52">
        <f>'2029'!F45</f>
        <v>1.3952430555555555</v>
      </c>
      <c r="W8" s="52">
        <f>'2029'!G45</f>
        <v>1.3414666666666666</v>
      </c>
      <c r="X8" s="52">
        <f>'2029'!H45</f>
        <v>0.43607030593946461</v>
      </c>
      <c r="Y8" s="50">
        <v>1E-14</v>
      </c>
      <c r="Z8" s="53" t="str">
        <f t="shared" ref="Z8" si="0">"Total "&amp;ROUND(S8+T8+U8+V8+W8+X8,2)</f>
        <v>Total 11,83</v>
      </c>
      <c r="AB8" s="51" t="s">
        <v>14</v>
      </c>
      <c r="AC8" s="52">
        <f>AD3</f>
        <v>11.67</v>
      </c>
      <c r="AD8" s="52">
        <f t="shared" ref="AD8:AF8" si="1">AE3</f>
        <v>11.67</v>
      </c>
      <c r="AE8" s="52">
        <f t="shared" si="1"/>
        <v>11.67</v>
      </c>
      <c r="AF8" s="52">
        <f t="shared" si="1"/>
        <v>11.75</v>
      </c>
      <c r="AG8" s="52">
        <f>ROUND($S$8+$T$8+$U$8+$V$8+$W$8+$X$8,2)</f>
        <v>11.83</v>
      </c>
    </row>
    <row r="9" spans="2:34" x14ac:dyDescent="0.3">
      <c r="B9" s="35" t="s">
        <v>121</v>
      </c>
      <c r="C9" s="37">
        <v>2.27</v>
      </c>
      <c r="D9" s="86" t="s">
        <v>35</v>
      </c>
      <c r="F9" s="321" t="s">
        <v>236</v>
      </c>
      <c r="G9" s="321"/>
      <c r="H9" s="321"/>
      <c r="I9" s="321"/>
      <c r="J9" s="321"/>
      <c r="K9" s="321"/>
      <c r="L9" s="321"/>
      <c r="O9" s="5" t="s">
        <v>8</v>
      </c>
      <c r="P9" s="24">
        <f>'2025'!S13</f>
        <v>-2162868.6058081533</v>
      </c>
      <c r="Q9" s="29"/>
      <c r="R9" s="51">
        <v>2030</v>
      </c>
      <c r="S9" s="52">
        <f>'2030'!H44</f>
        <v>4.3118662292976424</v>
      </c>
      <c r="T9" s="52">
        <f>'2030'!I44</f>
        <v>0.34499999999999997</v>
      </c>
      <c r="U9" s="52">
        <f>'2030'!J44</f>
        <v>4</v>
      </c>
      <c r="V9" s="52">
        <f>'2030'!F48</f>
        <v>1.3952430555555555</v>
      </c>
      <c r="W9" s="52">
        <f>'2030'!G48</f>
        <v>1.3414666666666666</v>
      </c>
      <c r="X9" s="52">
        <f>'2030'!H48</f>
        <v>0.43607030593946461</v>
      </c>
      <c r="Y9" s="50">
        <v>1E-14</v>
      </c>
      <c r="Z9" s="53" t="str">
        <f>"Total "&amp;ROUND(S9+T9+U9+V9+W9+X9,2)</f>
        <v>Total 11,83</v>
      </c>
      <c r="AB9" s="51" t="s">
        <v>15</v>
      </c>
      <c r="AC9" s="52">
        <f t="shared" ref="AC9:AF9" si="2">AD4</f>
        <v>10.94</v>
      </c>
      <c r="AD9" s="52">
        <f t="shared" si="2"/>
        <v>10.94</v>
      </c>
      <c r="AE9" s="52">
        <f t="shared" si="2"/>
        <v>10.94</v>
      </c>
      <c r="AF9" s="52">
        <f t="shared" si="2"/>
        <v>11.52</v>
      </c>
      <c r="AG9" s="52">
        <f>ROUND($S$17+$T$17+$U$17+$V$17+$W$17+$X$17,2)</f>
        <v>11.71</v>
      </c>
    </row>
    <row r="10" spans="2:34" x14ac:dyDescent="0.3">
      <c r="F10" s="54"/>
      <c r="G10" s="20">
        <v>2024</v>
      </c>
      <c r="H10" s="20">
        <v>2025</v>
      </c>
      <c r="I10" s="20">
        <v>2026</v>
      </c>
      <c r="J10" s="20">
        <v>2027</v>
      </c>
      <c r="K10" s="20">
        <v>2028</v>
      </c>
      <c r="L10" s="20">
        <v>2029</v>
      </c>
      <c r="O10" s="5" t="s">
        <v>13</v>
      </c>
      <c r="P10" s="24">
        <f>('2025'!D56+'2025'!$D$66+'2025'!$D$75+'2025'!$D$82)-('2025'!C56+'2025'!$C$66+'2025'!$C$75+'2025'!$C$82)</f>
        <v>11427.604019925806</v>
      </c>
      <c r="Q10" s="29"/>
      <c r="R10" s="29"/>
      <c r="S10" s="29"/>
      <c r="T10" s="29"/>
      <c r="U10" s="29"/>
    </row>
    <row r="11" spans="2:34" ht="16.2" x14ac:dyDescent="0.45">
      <c r="F11" s="54" t="s">
        <v>14</v>
      </c>
      <c r="G11" s="95">
        <f>'2024'!G8</f>
        <v>0.17710363927279796</v>
      </c>
      <c r="H11" s="95">
        <f>'2025'!G8</f>
        <v>0.27557030593946463</v>
      </c>
      <c r="I11" s="95">
        <f>'2026'!G8</f>
        <v>0.27557030593946463</v>
      </c>
      <c r="J11" s="95">
        <f>'2027'!G8</f>
        <v>0.27557030593946463</v>
      </c>
      <c r="K11" s="95">
        <f>'2028'!G8</f>
        <v>0.36118409194769513</v>
      </c>
      <c r="L11" s="95">
        <f>'2029'!G8</f>
        <v>0.43607030593946461</v>
      </c>
      <c r="O11" s="25" t="s">
        <v>2</v>
      </c>
      <c r="P11" s="26">
        <f>(P9-P9-P9)/P10</f>
        <v>189.26702413181761</v>
      </c>
      <c r="Q11" s="29"/>
      <c r="R11" s="50" t="s">
        <v>29</v>
      </c>
      <c r="S11" s="50" t="s">
        <v>130</v>
      </c>
      <c r="T11" s="50" t="s">
        <v>27</v>
      </c>
      <c r="U11" s="50" t="s">
        <v>126</v>
      </c>
      <c r="V11" s="50" t="s">
        <v>24</v>
      </c>
      <c r="W11" s="50" t="s">
        <v>25</v>
      </c>
      <c r="X11" s="50" t="s">
        <v>22</v>
      </c>
      <c r="Y11" s="50" t="s">
        <v>21</v>
      </c>
      <c r="Z11" s="50"/>
    </row>
    <row r="12" spans="2:34" ht="16.2" x14ac:dyDescent="0.45">
      <c r="F12" s="54" t="s">
        <v>15</v>
      </c>
      <c r="G12" s="95">
        <f>'2024'!I8</f>
        <v>0.15522723081846143</v>
      </c>
      <c r="H12" s="95">
        <f>'2025'!I8</f>
        <v>1.0053938974851282</v>
      </c>
      <c r="I12" s="95">
        <f>'2026'!I8</f>
        <v>1.0053938974851282</v>
      </c>
      <c r="J12" s="95">
        <f>'2027'!I8</f>
        <v>1.0053938974851282</v>
      </c>
      <c r="K12" s="95">
        <f>'2028'!I8</f>
        <v>1.5852582096603602</v>
      </c>
      <c r="L12" s="95">
        <f>'2029'!I8</f>
        <v>1.7709938974851283</v>
      </c>
      <c r="O12" s="25" t="s">
        <v>11</v>
      </c>
      <c r="P12" s="27">
        <f>P11/12</f>
        <v>15.772252010984801</v>
      </c>
      <c r="Q12" s="29"/>
      <c r="R12" s="51">
        <v>2024</v>
      </c>
      <c r="S12" s="52">
        <f>'2024'!H42</f>
        <v>1.6528820545640963</v>
      </c>
      <c r="T12" s="52">
        <v>0</v>
      </c>
      <c r="U12" s="52">
        <f>'2024'!J42</f>
        <v>4</v>
      </c>
      <c r="V12" s="52">
        <f>'2024'!F46</f>
        <v>3.3932000000000002</v>
      </c>
      <c r="W12" s="52">
        <f>'2024'!G46</f>
        <v>0.88906666666666667</v>
      </c>
      <c r="X12" s="52">
        <f>'2024'!H46</f>
        <v>0.15522723081846143</v>
      </c>
      <c r="Y12" s="50">
        <v>1E-14</v>
      </c>
      <c r="Z12" s="53" t="str">
        <f t="shared" ref="Z12:Z18" si="3">"Total "&amp;ROUND(S12+T12+U12+V12+W12+X12,2)</f>
        <v>Total 10,09</v>
      </c>
      <c r="AB12" s="50"/>
      <c r="AC12" s="20">
        <v>2026</v>
      </c>
      <c r="AD12" s="20">
        <v>2027</v>
      </c>
      <c r="AE12" s="20">
        <v>2028</v>
      </c>
      <c r="AF12" s="20">
        <v>2029</v>
      </c>
    </row>
    <row r="13" spans="2:34" x14ac:dyDescent="0.3">
      <c r="O13" s="84" t="s">
        <v>117</v>
      </c>
      <c r="P13" s="97"/>
      <c r="Q13" s="29"/>
      <c r="R13" s="51">
        <v>2025</v>
      </c>
      <c r="S13" s="52">
        <f>'2025'!H42</f>
        <v>1.6528820545640963</v>
      </c>
      <c r="T13" s="52">
        <v>0</v>
      </c>
      <c r="U13" s="52">
        <f>'2025'!J42</f>
        <v>4</v>
      </c>
      <c r="V13" s="52">
        <f>'2025'!F46</f>
        <v>3.3932000000000002</v>
      </c>
      <c r="W13" s="52">
        <f>'2025'!G46</f>
        <v>0.88906666666666667</v>
      </c>
      <c r="X13" s="52">
        <f>'2025'!H46</f>
        <v>1.0053938974851282</v>
      </c>
      <c r="Y13" s="50">
        <v>1E-14</v>
      </c>
      <c r="Z13" s="53" t="str">
        <f t="shared" si="3"/>
        <v>Total 10,94</v>
      </c>
      <c r="AB13" s="51" t="s">
        <v>14</v>
      </c>
      <c r="AC13" s="52">
        <f>AE3</f>
        <v>11.67</v>
      </c>
      <c r="AD13" s="52">
        <f t="shared" ref="AD13:AE14" si="4">AF3</f>
        <v>11.67</v>
      </c>
      <c r="AE13" s="52">
        <f t="shared" si="4"/>
        <v>11.75</v>
      </c>
      <c r="AF13" s="52">
        <f>ROUND($S$8+$T$8+$U$8+$V$8+$W$8+$X$8,2)</f>
        <v>11.83</v>
      </c>
    </row>
    <row r="14" spans="2:34" x14ac:dyDescent="0.3">
      <c r="F14" s="321" t="s">
        <v>239</v>
      </c>
      <c r="G14" s="321"/>
      <c r="H14" s="321"/>
      <c r="I14" s="321"/>
      <c r="J14" s="321"/>
      <c r="K14" s="321"/>
      <c r="L14" s="321"/>
      <c r="O14" s="5" t="s">
        <v>8</v>
      </c>
      <c r="P14" s="24">
        <f>'2026'!S13</f>
        <v>-2162868.6058081533</v>
      </c>
      <c r="Q14" s="29"/>
      <c r="R14" s="51">
        <v>2026</v>
      </c>
      <c r="S14" s="52">
        <f>'2026'!H42</f>
        <v>1.6528820545640963</v>
      </c>
      <c r="T14" s="52">
        <v>0</v>
      </c>
      <c r="U14" s="52">
        <f>'2026'!J42</f>
        <v>4</v>
      </c>
      <c r="V14" s="52">
        <f>'2026'!F46</f>
        <v>3.3932000000000002</v>
      </c>
      <c r="W14" s="52">
        <f>'2026'!G46</f>
        <v>0.88906666666666667</v>
      </c>
      <c r="X14" s="52">
        <f>'2026'!H46</f>
        <v>1.0053938974851282</v>
      </c>
      <c r="Y14" s="50">
        <v>1E-14</v>
      </c>
      <c r="Z14" s="53" t="str">
        <f t="shared" si="3"/>
        <v>Total 10,94</v>
      </c>
      <c r="AB14" s="51" t="s">
        <v>15</v>
      </c>
      <c r="AC14" s="52">
        <f t="shared" ref="AC14" si="5">AE4</f>
        <v>10.94</v>
      </c>
      <c r="AD14" s="52">
        <f t="shared" si="4"/>
        <v>10.94</v>
      </c>
      <c r="AE14" s="52">
        <f t="shared" si="4"/>
        <v>11.52</v>
      </c>
      <c r="AF14" s="52">
        <f>ROUND($S$17+$T$17+$U$17+$V$17+$W$17+$X$17,2)</f>
        <v>11.71</v>
      </c>
    </row>
    <row r="15" spans="2:34" x14ac:dyDescent="0.3">
      <c r="F15" s="54"/>
      <c r="G15" s="20">
        <v>2024</v>
      </c>
      <c r="H15" s="20">
        <v>2025</v>
      </c>
      <c r="I15" s="20">
        <v>2026</v>
      </c>
      <c r="J15" s="20">
        <v>2027</v>
      </c>
      <c r="K15" s="20">
        <v>2028</v>
      </c>
      <c r="L15" s="20">
        <v>2029</v>
      </c>
      <c r="O15" s="5" t="s">
        <v>13</v>
      </c>
      <c r="P15" s="24">
        <f>('2026'!D56+'2026'!$D$66+'2026'!$D$75+'2026'!$D$82)-('2026'!C56+'2026'!$C$66+'2026'!$C$75+'2026'!$C$82)</f>
        <v>11427.604019925806</v>
      </c>
      <c r="Q15" s="29"/>
      <c r="R15" s="51">
        <v>2027</v>
      </c>
      <c r="S15" s="52">
        <f>'2027'!H42</f>
        <v>1.6528820545640963</v>
      </c>
      <c r="T15" s="52">
        <v>0</v>
      </c>
      <c r="U15" s="52">
        <f>'2027'!J42</f>
        <v>4</v>
      </c>
      <c r="V15" s="52">
        <f>'2027'!F46</f>
        <v>3.3932000000000002</v>
      </c>
      <c r="W15" s="52">
        <f>'2027'!G46</f>
        <v>0.88906666666666667</v>
      </c>
      <c r="X15" s="52">
        <f>'2027'!H46</f>
        <v>1.0053938974851282</v>
      </c>
      <c r="Y15" s="50">
        <v>1E-14</v>
      </c>
      <c r="Z15" s="53" t="str">
        <f t="shared" si="3"/>
        <v>Total 10,94</v>
      </c>
    </row>
    <row r="16" spans="2:34" ht="16.2" x14ac:dyDescent="0.45">
      <c r="F16" s="54" t="s">
        <v>14</v>
      </c>
      <c r="G16" s="136">
        <f>'2024'!G9/100</f>
        <v>1.5306243499623628E-2</v>
      </c>
      <c r="H16" s="136">
        <f>'2025'!G9/100</f>
        <v>2.3615292829439891E-2</v>
      </c>
      <c r="I16" s="136">
        <f>'2026'!G9/100</f>
        <v>2.3615292829439891E-2</v>
      </c>
      <c r="J16" s="136">
        <f>'2027'!G9/100</f>
        <v>2.3615292829439891E-2</v>
      </c>
      <c r="K16" s="136">
        <f>'2028'!G9/100</f>
        <v>3.0726623989948222E-2</v>
      </c>
      <c r="L16" s="136">
        <f>'2029'!G9/100</f>
        <v>3.6862497529416414E-2</v>
      </c>
      <c r="O16" s="25" t="s">
        <v>2</v>
      </c>
      <c r="P16" s="26">
        <f>(P14-P14-P14)/P15</f>
        <v>189.26702413181761</v>
      </c>
      <c r="Q16" s="29"/>
      <c r="R16" s="51">
        <v>2028</v>
      </c>
      <c r="S16" s="52">
        <f>'2028'!H42</f>
        <v>1.6528820545640963</v>
      </c>
      <c r="T16" s="52">
        <v>0</v>
      </c>
      <c r="U16" s="52">
        <f>'2028'!J42</f>
        <v>4</v>
      </c>
      <c r="V16" s="52">
        <f>'2028'!F46</f>
        <v>3.3932000000000002</v>
      </c>
      <c r="W16" s="52">
        <f>'2028'!G46</f>
        <v>0.88906666666666667</v>
      </c>
      <c r="X16" s="52">
        <f>'2028'!H46</f>
        <v>1.5852582096603602</v>
      </c>
      <c r="Y16" s="50">
        <v>1E-14</v>
      </c>
      <c r="Z16" s="53" t="str">
        <f t="shared" si="3"/>
        <v>Total 11,52</v>
      </c>
    </row>
    <row r="17" spans="6:31" ht="16.2" x14ac:dyDescent="0.45">
      <c r="F17" s="54" t="s">
        <v>15</v>
      </c>
      <c r="G17" s="136">
        <f>'2024'!I9/100</f>
        <v>1.5383691505264164E-2</v>
      </c>
      <c r="H17" s="136">
        <f>'2025'!I9/100</f>
        <v>9.1896163885437435E-2</v>
      </c>
      <c r="I17" s="136">
        <f>'2026'!I9/100</f>
        <v>9.1896163885437435E-2</v>
      </c>
      <c r="J17" s="137">
        <f>'2027'!I9/100</f>
        <v>9.1896163885437435E-2</v>
      </c>
      <c r="K17" s="137">
        <f>'2028'!I9/100</f>
        <v>0.13760435887117903</v>
      </c>
      <c r="L17" s="137">
        <f>'2029'!I9/100</f>
        <v>0.15128757227454639</v>
      </c>
      <c r="O17" s="25" t="s">
        <v>11</v>
      </c>
      <c r="P17" s="27">
        <f>P16/12</f>
        <v>15.772252010984801</v>
      </c>
      <c r="Q17" s="29"/>
      <c r="R17" s="51">
        <v>2029</v>
      </c>
      <c r="S17" s="52">
        <f>'2029'!H42</f>
        <v>1.6528820545640963</v>
      </c>
      <c r="T17" s="52">
        <v>0</v>
      </c>
      <c r="U17" s="52">
        <f>'2029'!J42</f>
        <v>4</v>
      </c>
      <c r="V17" s="52">
        <f>'2029'!F46</f>
        <v>3.3932000000000002</v>
      </c>
      <c r="W17" s="52">
        <f>'2029'!G46</f>
        <v>0.88906666666666667</v>
      </c>
      <c r="X17" s="52">
        <f>'2029'!H46</f>
        <v>1.7709938974851283</v>
      </c>
      <c r="Y17" s="50">
        <v>1E-14</v>
      </c>
      <c r="Z17" s="53" t="str">
        <f t="shared" si="3"/>
        <v>Total 11,71</v>
      </c>
      <c r="AB17" s="50"/>
      <c r="AC17" s="20">
        <v>2027</v>
      </c>
      <c r="AD17" s="20">
        <v>2028</v>
      </c>
      <c r="AE17" s="20">
        <v>2029</v>
      </c>
    </row>
    <row r="18" spans="6:31" x14ac:dyDescent="0.3">
      <c r="O18" s="84" t="s">
        <v>118</v>
      </c>
      <c r="P18" s="97"/>
      <c r="Q18" s="29"/>
      <c r="R18" s="51">
        <v>2030</v>
      </c>
      <c r="S18" s="52">
        <f>'2030'!H45</f>
        <v>1.6528820545640963</v>
      </c>
      <c r="T18" s="52">
        <v>0</v>
      </c>
      <c r="U18" s="52">
        <f>'2030'!J45</f>
        <v>4</v>
      </c>
      <c r="V18" s="52">
        <f>'2030'!F49</f>
        <v>3.3932000000000002</v>
      </c>
      <c r="W18" s="52">
        <f>'2030'!G49</f>
        <v>0.88906666666666667</v>
      </c>
      <c r="X18" s="52">
        <f>'2030'!H49</f>
        <v>1.7709938974851283</v>
      </c>
      <c r="Y18" s="50">
        <v>1E-14</v>
      </c>
      <c r="Z18" s="53" t="str">
        <f t="shared" si="3"/>
        <v>Total 11,71</v>
      </c>
      <c r="AB18" s="51" t="s">
        <v>14</v>
      </c>
      <c r="AC18" s="52">
        <f>AF3</f>
        <v>11.67</v>
      </c>
      <c r="AD18" s="52">
        <f t="shared" ref="AD18:AD19" si="6">AG3</f>
        <v>11.75</v>
      </c>
      <c r="AE18" s="52">
        <f>ROUND($S$8+$T$8+$U$8+$V$8+$W$8+$X$8,2)</f>
        <v>11.83</v>
      </c>
    </row>
    <row r="19" spans="6:31" x14ac:dyDescent="0.3">
      <c r="F19" s="321" t="s">
        <v>233</v>
      </c>
      <c r="G19" s="321"/>
      <c r="H19" s="321"/>
      <c r="I19" s="321"/>
      <c r="J19" s="321"/>
      <c r="K19" s="321"/>
      <c r="L19" s="321"/>
      <c r="O19" s="5" t="s">
        <v>8</v>
      </c>
      <c r="P19" s="24">
        <f>'2027'!S13</f>
        <v>-2162868.6058081533</v>
      </c>
      <c r="Q19" s="29"/>
      <c r="R19" s="29"/>
      <c r="S19" s="29"/>
      <c r="T19" s="29"/>
      <c r="U19" s="29"/>
      <c r="AB19" s="51" t="s">
        <v>15</v>
      </c>
      <c r="AC19" s="52">
        <f t="shared" ref="AC19" si="7">AF4</f>
        <v>10.94</v>
      </c>
      <c r="AD19" s="52">
        <f t="shared" si="6"/>
        <v>11.52</v>
      </c>
      <c r="AE19" s="52">
        <f>ROUND($S$17+$T$17+$U$17+$V$17+$W$17+$X$17,2)</f>
        <v>11.71</v>
      </c>
    </row>
    <row r="20" spans="6:31" x14ac:dyDescent="0.3">
      <c r="F20" s="54"/>
      <c r="G20" s="20">
        <v>2024</v>
      </c>
      <c r="H20" s="20">
        <v>2025</v>
      </c>
      <c r="I20" s="20">
        <v>2026</v>
      </c>
      <c r="J20" s="20">
        <v>2027</v>
      </c>
      <c r="K20" s="20">
        <v>2028</v>
      </c>
      <c r="L20" s="20">
        <v>2029</v>
      </c>
      <c r="O20" s="5" t="s">
        <v>13</v>
      </c>
      <c r="P20" s="24">
        <f>('2027'!D56+'2027'!$D$66+'2027'!$D$75+'2027'!$D$82)-('2027'!C56+'2027'!$C$66+'2027'!$C$75+'2027'!$C$82)</f>
        <v>11427.604019925806</v>
      </c>
      <c r="Q20" s="29"/>
      <c r="R20" s="29"/>
      <c r="S20" s="29"/>
      <c r="T20" s="29"/>
      <c r="U20" s="29"/>
    </row>
    <row r="21" spans="6:31" ht="16.2" x14ac:dyDescent="0.45">
      <c r="F21" s="54" t="s">
        <v>14</v>
      </c>
      <c r="G21" s="136">
        <f>'2024'!G10/100</f>
        <v>1.5544166293916964E-2</v>
      </c>
      <c r="H21" s="136">
        <f>'2025'!G10/100</f>
        <v>2.4186463241393893E-2</v>
      </c>
      <c r="I21" s="136">
        <f>'2026'!G10/100</f>
        <v>2.4186463241393893E-2</v>
      </c>
      <c r="J21" s="136">
        <f>'2027'!G10/100</f>
        <v>2.4186463241393893E-2</v>
      </c>
      <c r="K21" s="136">
        <f>'2028'!G10/100</f>
        <v>3.1700678828538852E-2</v>
      </c>
      <c r="L21" s="136">
        <f>'2029'!G10/100</f>
        <v>3.8273348753276565E-2</v>
      </c>
      <c r="O21" s="25" t="s">
        <v>2</v>
      </c>
      <c r="P21" s="26">
        <f>(P19-P19-P19)/P20</f>
        <v>189.26702413181761</v>
      </c>
      <c r="Q21" s="29"/>
      <c r="R21" s="29"/>
      <c r="S21" s="29"/>
      <c r="T21" s="29"/>
      <c r="U21" s="29"/>
    </row>
    <row r="22" spans="6:31" ht="16.2" x14ac:dyDescent="0.45">
      <c r="F22" s="54" t="s">
        <v>15</v>
      </c>
      <c r="G22" s="136">
        <f>'2024'!I10/100</f>
        <v>1.5624047024756761E-2</v>
      </c>
      <c r="H22" s="136">
        <f>'2025'!I10/100</f>
        <v>0.10119565652164494</v>
      </c>
      <c r="I22" s="136">
        <f>'2026'!I10/100</f>
        <v>0.10119565652164494</v>
      </c>
      <c r="J22" s="137">
        <f>'2027'!I10/100</f>
        <v>0.10119565652164494</v>
      </c>
      <c r="K22" s="137">
        <f>'2028'!I10/100</f>
        <v>0.15956059180802873</v>
      </c>
      <c r="L22" s="137">
        <f>'2029'!I10/100</f>
        <v>0.17825539880451213</v>
      </c>
      <c r="O22" s="25" t="s">
        <v>11</v>
      </c>
      <c r="P22" s="27">
        <f>P21/12</f>
        <v>15.772252010984801</v>
      </c>
      <c r="Q22" s="29"/>
      <c r="R22" s="29"/>
      <c r="S22" s="29"/>
      <c r="T22" s="29"/>
      <c r="U22" s="29"/>
      <c r="AB22" s="50"/>
      <c r="AC22" s="20">
        <v>2028</v>
      </c>
      <c r="AD22" s="20">
        <v>2029</v>
      </c>
    </row>
    <row r="23" spans="6:31" x14ac:dyDescent="0.3">
      <c r="O23" s="84" t="s">
        <v>119</v>
      </c>
      <c r="P23" s="97"/>
      <c r="Q23" s="29"/>
      <c r="R23" s="125" t="s">
        <v>122</v>
      </c>
      <c r="S23" s="126"/>
      <c r="T23" s="126"/>
      <c r="U23" s="126"/>
      <c r="V23" s="126"/>
      <c r="W23" s="126"/>
      <c r="X23" s="126"/>
      <c r="Y23" s="127"/>
      <c r="AB23" s="51" t="s">
        <v>14</v>
      </c>
      <c r="AC23" s="52">
        <f>AG8</f>
        <v>11.83</v>
      </c>
      <c r="AD23" s="52">
        <f>ROUND($S$8+$T$8+$U$8+$V$8+$W$8+$X$8,2)</f>
        <v>11.83</v>
      </c>
    </row>
    <row r="24" spans="6:31" x14ac:dyDescent="0.3">
      <c r="O24" s="5" t="s">
        <v>8</v>
      </c>
      <c r="P24" s="24">
        <f>'2028'!S13</f>
        <v>-2162868.6058081533</v>
      </c>
      <c r="Q24" s="29"/>
      <c r="R24" s="50"/>
      <c r="S24" s="20">
        <v>2024</v>
      </c>
      <c r="T24" s="20">
        <v>2025</v>
      </c>
      <c r="U24" s="20">
        <v>2026</v>
      </c>
      <c r="V24" s="20">
        <v>2027</v>
      </c>
      <c r="W24" s="20">
        <v>2028</v>
      </c>
      <c r="X24" s="20">
        <v>2029</v>
      </c>
      <c r="AB24" s="51" t="s">
        <v>15</v>
      </c>
      <c r="AC24" s="52">
        <f>AG9</f>
        <v>11.71</v>
      </c>
      <c r="AD24" s="52">
        <f>ROUND($S$17+$T$17+$U$17+$V$17+$W$17+$X$17,2)</f>
        <v>11.71</v>
      </c>
    </row>
    <row r="25" spans="6:31" x14ac:dyDescent="0.3">
      <c r="O25" s="5" t="s">
        <v>13</v>
      </c>
      <c r="P25" s="24">
        <f>('2028'!D56+'2028'!$D$66+'2028'!$D$75+'2028'!$D$82)-('2028'!C56+'2028'!$C$66+'2028'!$C$75+'2028'!$C$82)</f>
        <v>11427.604019925806</v>
      </c>
      <c r="Q25" s="29"/>
      <c r="R25" s="54" t="s">
        <v>15</v>
      </c>
      <c r="S25" s="52">
        <f>'2024'!S16</f>
        <v>15.772252010984801</v>
      </c>
      <c r="T25" s="52">
        <f>'2025'!S16</f>
        <v>15.772252010984801</v>
      </c>
      <c r="U25" s="52">
        <f>'2026'!S16</f>
        <v>10.913258168853966</v>
      </c>
      <c r="V25" s="52">
        <f>'2027'!S16</f>
        <v>10.132845901117859</v>
      </c>
      <c r="W25" s="52">
        <f>'2028'!S16</f>
        <v>9.4565999532614828</v>
      </c>
      <c r="X25" s="52">
        <f>'2029'!S16</f>
        <v>8.8649695472807295</v>
      </c>
    </row>
    <row r="26" spans="6:31" ht="16.2" x14ac:dyDescent="0.45">
      <c r="O26" s="25" t="s">
        <v>2</v>
      </c>
      <c r="P26" s="26">
        <f>(P24-P24-P24)/P25</f>
        <v>189.26702413181761</v>
      </c>
      <c r="Q26" s="29"/>
      <c r="R26" s="29"/>
      <c r="S26" s="29"/>
      <c r="T26" s="29"/>
      <c r="U26" s="29"/>
      <c r="V26" s="29"/>
      <c r="W26" s="29"/>
      <c r="X26" s="29"/>
      <c r="Y26" s="29"/>
    </row>
    <row r="27" spans="6:31" ht="16.2" x14ac:dyDescent="0.45">
      <c r="O27" s="25" t="s">
        <v>11</v>
      </c>
      <c r="P27" s="27">
        <f>P26/12</f>
        <v>15.772252010984801</v>
      </c>
      <c r="Q27" s="29"/>
      <c r="R27" s="46"/>
      <c r="S27" s="30"/>
      <c r="T27" s="31"/>
      <c r="U27" s="31"/>
      <c r="V27" s="31"/>
      <c r="W27" s="31"/>
      <c r="AB27" s="50"/>
      <c r="AC27" s="20">
        <v>2029</v>
      </c>
    </row>
    <row r="28" spans="6:31" x14ac:dyDescent="0.3">
      <c r="O28" s="84" t="s">
        <v>195</v>
      </c>
      <c r="P28" s="97"/>
      <c r="Q28" s="29"/>
      <c r="R28" s="125" t="s">
        <v>180</v>
      </c>
      <c r="S28" s="126"/>
      <c r="T28" s="126"/>
      <c r="U28" s="126"/>
      <c r="V28" s="126"/>
      <c r="W28" s="126"/>
      <c r="X28" s="126"/>
      <c r="Y28" s="127"/>
      <c r="AB28" s="51" t="s">
        <v>14</v>
      </c>
      <c r="AC28" s="52">
        <f>ROUND($S$8+$T$8+$U$8+$V$8+$W$8+$X$8,2)</f>
        <v>11.83</v>
      </c>
    </row>
    <row r="29" spans="6:31" x14ac:dyDescent="0.3">
      <c r="O29" s="5" t="s">
        <v>8</v>
      </c>
      <c r="P29" s="24">
        <f>'2029'!S13</f>
        <v>-2162868.6058081533</v>
      </c>
      <c r="Q29" s="29"/>
      <c r="R29" s="54"/>
      <c r="S29" s="20">
        <v>2024</v>
      </c>
      <c r="T29" s="20">
        <v>2025</v>
      </c>
      <c r="U29" s="20">
        <v>2026</v>
      </c>
      <c r="V29" s="20">
        <v>2027</v>
      </c>
      <c r="W29" s="20">
        <v>2028</v>
      </c>
      <c r="X29" s="20">
        <v>2029</v>
      </c>
      <c r="AB29" s="51" t="s">
        <v>15</v>
      </c>
      <c r="AC29" s="52">
        <f>ROUND($S$17+$T$17+$U$17+$V$17+$W$17+$X$17,2)</f>
        <v>11.71</v>
      </c>
    </row>
    <row r="30" spans="6:31" x14ac:dyDescent="0.3">
      <c r="O30" s="5" t="s">
        <v>13</v>
      </c>
      <c r="P30" s="24">
        <f>('2029'!D56+'2029'!$D$66+'2029'!$D$75+'2029'!$D$82)-('2029'!C56+'2029'!$C$66+'2029'!$C$75+'2029'!$C$82)</f>
        <v>11427.604019925806</v>
      </c>
      <c r="Q30" s="29"/>
      <c r="R30" s="54" t="s">
        <v>15</v>
      </c>
      <c r="S30" s="64">
        <f>'2024'!S8</f>
        <v>-1065818.6198952766</v>
      </c>
      <c r="T30" s="64">
        <f>'2025'!S8</f>
        <v>-1065818.6198952766</v>
      </c>
      <c r="U30" s="64">
        <f>'2026'!S8</f>
        <v>-1065818.6198952766</v>
      </c>
      <c r="V30" s="64">
        <f>'2027'!S8</f>
        <v>-1065818.6198952766</v>
      </c>
      <c r="W30" s="64">
        <f>'2028'!S8</f>
        <v>-1065818.6198952766</v>
      </c>
      <c r="X30" s="64">
        <f>'2029'!S8</f>
        <v>-1065818.6198952766</v>
      </c>
    </row>
    <row r="31" spans="6:31" ht="16.2" x14ac:dyDescent="0.45">
      <c r="O31" s="25" t="s">
        <v>2</v>
      </c>
      <c r="P31" s="26">
        <f>(P29-P29-P29)/P30</f>
        <v>189.26702413181761</v>
      </c>
      <c r="Q31" s="29"/>
      <c r="R31" s="29"/>
      <c r="S31" s="29"/>
      <c r="T31" s="29"/>
      <c r="U31" s="29"/>
      <c r="V31" s="29"/>
      <c r="W31" s="29"/>
      <c r="X31" s="29"/>
      <c r="Y31" s="29"/>
    </row>
    <row r="32" spans="6:31" ht="16.2" x14ac:dyDescent="0.45">
      <c r="O32" s="25" t="s">
        <v>11</v>
      </c>
      <c r="P32" s="27">
        <f>P31/12</f>
        <v>15.772252010984801</v>
      </c>
      <c r="Q32" s="29"/>
      <c r="R32" s="29"/>
      <c r="S32" s="29"/>
      <c r="T32" s="29"/>
      <c r="U32" s="29"/>
      <c r="Z32" s="29"/>
      <c r="AA32" s="29"/>
      <c r="AB32" s="29"/>
    </row>
    <row r="33" spans="8:26" x14ac:dyDescent="0.3">
      <c r="O33" s="84" t="s">
        <v>196</v>
      </c>
      <c r="P33" s="97"/>
      <c r="Q33" s="29"/>
      <c r="R33" s="29"/>
      <c r="S33" s="29"/>
      <c r="T33" s="29"/>
      <c r="U33" s="29"/>
    </row>
    <row r="34" spans="8:26" x14ac:dyDescent="0.3">
      <c r="O34" s="5" t="s">
        <v>8</v>
      </c>
      <c r="P34" s="24">
        <f>'2030'!I15</f>
        <v>-2162868.6058081533</v>
      </c>
      <c r="Q34" s="29"/>
      <c r="R34" s="29"/>
      <c r="S34" s="29"/>
      <c r="T34" s="29"/>
      <c r="U34" s="29"/>
      <c r="Y34" s="127"/>
    </row>
    <row r="35" spans="8:26" x14ac:dyDescent="0.3">
      <c r="O35" s="5" t="s">
        <v>13</v>
      </c>
      <c r="P35" s="24">
        <f>('2030'!D69+'2030'!$D$79+'2030'!$D$88+'2030'!$D$92)-('2030'!C69+'2030'!$C$79+'2030'!$C$88+'2030'!$C$92)</f>
        <v>21603.604019925806</v>
      </c>
      <c r="Q35" s="29"/>
      <c r="R35" s="29"/>
      <c r="S35" s="29"/>
      <c r="T35" s="29"/>
      <c r="U35" s="29"/>
    </row>
    <row r="36" spans="8:26" ht="16.2" x14ac:dyDescent="0.45">
      <c r="O36" s="25" t="s">
        <v>2</v>
      </c>
      <c r="P36" s="26">
        <f>(P34-P34-P34)/P35</f>
        <v>100.11610117521407</v>
      </c>
      <c r="Q36" s="29"/>
      <c r="R36" s="29"/>
      <c r="S36" s="29"/>
      <c r="T36" s="29"/>
      <c r="U36" s="29"/>
    </row>
    <row r="37" spans="8:26" ht="16.2" x14ac:dyDescent="0.45">
      <c r="O37" s="25" t="s">
        <v>11</v>
      </c>
      <c r="P37" s="27">
        <f>P36/12</f>
        <v>8.3430084312678385</v>
      </c>
      <c r="Q37" s="29"/>
      <c r="R37" s="29"/>
      <c r="S37" s="29"/>
      <c r="T37" s="29"/>
      <c r="U37" s="29"/>
      <c r="Z37" s="29"/>
    </row>
    <row r="44" spans="8:26" x14ac:dyDescent="0.3">
      <c r="H44" s="32"/>
      <c r="N44" s="32"/>
    </row>
    <row r="45" spans="8:26" x14ac:dyDescent="0.3">
      <c r="H45" s="32"/>
    </row>
    <row r="46" spans="8:26" x14ac:dyDescent="0.3">
      <c r="H46" s="32"/>
    </row>
    <row r="47" spans="8:26" x14ac:dyDescent="0.3">
      <c r="H47" s="32"/>
    </row>
    <row r="48" spans="8:26" x14ac:dyDescent="0.3">
      <c r="H48" s="32"/>
    </row>
    <row r="49" spans="8:8" x14ac:dyDescent="0.3">
      <c r="H49" s="32"/>
    </row>
    <row r="50" spans="8:8" x14ac:dyDescent="0.3">
      <c r="H50" s="32"/>
    </row>
    <row r="51" spans="8:8" x14ac:dyDescent="0.3">
      <c r="H51" s="32"/>
    </row>
    <row r="52" spans="8:8" x14ac:dyDescent="0.3">
      <c r="H52" s="32"/>
    </row>
    <row r="53" spans="8:8" x14ac:dyDescent="0.3">
      <c r="H53" s="32"/>
    </row>
    <row r="54" spans="8:8" x14ac:dyDescent="0.3">
      <c r="H54" s="32"/>
    </row>
    <row r="55" spans="8:8" x14ac:dyDescent="0.3">
      <c r="H55" s="32"/>
    </row>
    <row r="56" spans="8:8" x14ac:dyDescent="0.3">
      <c r="H56" s="32"/>
    </row>
    <row r="57" spans="8:8" x14ac:dyDescent="0.3">
      <c r="H57" s="32"/>
    </row>
    <row r="58" spans="8:8" x14ac:dyDescent="0.3">
      <c r="H58" s="32"/>
    </row>
    <row r="59" spans="8:8" x14ac:dyDescent="0.3">
      <c r="H59" s="32"/>
    </row>
    <row r="60" spans="8:8" x14ac:dyDescent="0.3">
      <c r="H60" s="32"/>
    </row>
    <row r="61" spans="8:8" x14ac:dyDescent="0.3">
      <c r="H61" s="32"/>
    </row>
    <row r="62" spans="8:8" x14ac:dyDescent="0.3">
      <c r="H62" s="32"/>
    </row>
    <row r="63" spans="8:8" x14ac:dyDescent="0.3">
      <c r="H63" s="32"/>
    </row>
    <row r="75" spans="8:8" x14ac:dyDescent="0.3">
      <c r="H75" s="32"/>
    </row>
    <row r="76" spans="8:8" x14ac:dyDescent="0.3">
      <c r="H76" s="32"/>
    </row>
    <row r="77" spans="8:8" x14ac:dyDescent="0.3">
      <c r="H77" s="32"/>
    </row>
    <row r="78" spans="8:8" x14ac:dyDescent="0.3">
      <c r="H78" s="32"/>
    </row>
    <row r="79" spans="8:8" x14ac:dyDescent="0.3">
      <c r="H79" s="32"/>
    </row>
    <row r="80" spans="8:8" x14ac:dyDescent="0.3">
      <c r="H80" s="32"/>
    </row>
    <row r="81" spans="8:8" x14ac:dyDescent="0.3">
      <c r="H81" s="32"/>
    </row>
    <row r="82" spans="8:8" x14ac:dyDescent="0.3">
      <c r="H82" s="32"/>
    </row>
    <row r="83" spans="8:8" x14ac:dyDescent="0.3">
      <c r="H83" s="32"/>
    </row>
    <row r="84" spans="8:8" x14ac:dyDescent="0.3">
      <c r="H84" s="32"/>
    </row>
    <row r="85" spans="8:8" x14ac:dyDescent="0.3">
      <c r="H85" s="32"/>
    </row>
    <row r="86" spans="8:8" x14ac:dyDescent="0.3">
      <c r="H86" s="32"/>
    </row>
    <row r="87" spans="8:8" x14ac:dyDescent="0.3">
      <c r="H87" s="32"/>
    </row>
    <row r="88" spans="8:8" x14ac:dyDescent="0.3">
      <c r="H88" s="32"/>
    </row>
    <row r="89" spans="8:8" x14ac:dyDescent="0.3">
      <c r="H89" s="32"/>
    </row>
    <row r="90" spans="8:8" x14ac:dyDescent="0.3">
      <c r="H90" s="32"/>
    </row>
    <row r="91" spans="8:8" x14ac:dyDescent="0.3">
      <c r="H91" s="32"/>
    </row>
    <row r="92" spans="8:8" x14ac:dyDescent="0.3">
      <c r="H92" s="32"/>
    </row>
  </sheetData>
  <sheetProtection sheet="1" objects="1" scenarios="1" selectLockedCells="1"/>
  <mergeCells count="6">
    <mergeCell ref="F19:L19"/>
    <mergeCell ref="B2:D2"/>
    <mergeCell ref="B3:D3"/>
    <mergeCell ref="F4:L4"/>
    <mergeCell ref="F9:L9"/>
    <mergeCell ref="F14:L14"/>
  </mergeCells>
  <phoneticPr fontId="15" type="noConversion"/>
  <hyperlinks>
    <hyperlink ref="D5" r:id="rId1" xr:uid="{68ADF58F-2825-4625-BA77-0ACE56606D1D}"/>
    <hyperlink ref="D6:D8" r:id="rId2" display="https://www.ok.dk/erhverv/produkter/braendstof/prisudvikling" xr:uid="{A31BFE61-FD88-4D66-A417-B1249C445A18}"/>
    <hyperlink ref="D9" r:id="rId3" display="https://findenergi.dk/stroempriser/" xr:uid="{4DD501D6-9F3E-4F0E-AD81-CB81C97FFC34}"/>
  </hyperlinks>
  <pageMargins left="0.7" right="0.7" top="0.75" bottom="0.75" header="0.3" footer="0.3"/>
  <pageSetup paperSize="9" orientation="portrait"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4886C-7E91-410E-AC1A-586C3A659F7D}">
  <sheetPr codeName="Sheet17"/>
  <dimension ref="B2:T28"/>
  <sheetViews>
    <sheetView showGridLines="0" zoomScaleNormal="100" workbookViewId="0">
      <selection activeCell="F21" sqref="F21"/>
    </sheetView>
  </sheetViews>
  <sheetFormatPr defaultColWidth="8.88671875" defaultRowHeight="14.4" x14ac:dyDescent="0.3"/>
  <cols>
    <col min="1" max="1" width="2.44140625" customWidth="1"/>
    <col min="2" max="2" width="5" bestFit="1" customWidth="1"/>
    <col min="3" max="3" width="12.6640625" bestFit="1" customWidth="1"/>
    <col min="4" max="4" width="39.109375" bestFit="1" customWidth="1"/>
    <col min="5" max="5" width="13.6640625" bestFit="1" customWidth="1"/>
    <col min="6" max="6" width="8.33203125" bestFit="1" customWidth="1"/>
    <col min="7" max="7" width="9.109375" customWidth="1"/>
    <col min="8" max="14" width="7.77734375" customWidth="1"/>
    <col min="15" max="15" width="13.5546875" bestFit="1" customWidth="1"/>
    <col min="16" max="16" width="7.77734375" customWidth="1"/>
    <col min="17" max="17" width="14" bestFit="1" customWidth="1"/>
    <col min="19" max="19" width="9.44140625" bestFit="1" customWidth="1"/>
  </cols>
  <sheetData>
    <row r="2" spans="2:18" ht="23.4" x14ac:dyDescent="0.45">
      <c r="B2" s="279" t="s">
        <v>60</v>
      </c>
      <c r="C2" s="280"/>
      <c r="D2" s="280"/>
      <c r="E2" s="280"/>
      <c r="F2" s="281"/>
      <c r="H2" s="28" t="s">
        <v>51</v>
      </c>
      <c r="I2" s="28" t="s">
        <v>52</v>
      </c>
      <c r="J2" s="28" t="s">
        <v>53</v>
      </c>
      <c r="K2" s="28" t="s">
        <v>54</v>
      </c>
      <c r="L2" s="28" t="s">
        <v>55</v>
      </c>
      <c r="M2" s="28" t="s">
        <v>56</v>
      </c>
      <c r="N2" s="28" t="s">
        <v>57</v>
      </c>
      <c r="O2" s="28" t="s">
        <v>58</v>
      </c>
    </row>
    <row r="3" spans="2:18" x14ac:dyDescent="0.3">
      <c r="B3" s="322" t="s">
        <v>59</v>
      </c>
      <c r="C3" s="323"/>
      <c r="D3" s="323"/>
      <c r="E3" s="323"/>
      <c r="F3" s="324"/>
      <c r="H3" s="28">
        <v>0</v>
      </c>
      <c r="I3" s="1">
        <v>64</v>
      </c>
      <c r="J3" s="1">
        <v>78</v>
      </c>
      <c r="K3" s="1">
        <v>67</v>
      </c>
      <c r="L3" s="1">
        <v>58</v>
      </c>
      <c r="M3" s="1">
        <v>53</v>
      </c>
      <c r="N3" s="1">
        <v>72</v>
      </c>
      <c r="O3" s="42">
        <f>(((I3+J3+K3+L3+M3+N3)/6)/60)*100</f>
        <v>108.88888888888889</v>
      </c>
      <c r="P3" s="161">
        <f t="shared" ref="P3:P8" si="0">O3</f>
        <v>108.88888888888889</v>
      </c>
      <c r="R3" s="85"/>
    </row>
    <row r="4" spans="2:18" x14ac:dyDescent="0.3">
      <c r="B4" s="322" t="s">
        <v>65</v>
      </c>
      <c r="C4" s="323"/>
      <c r="D4" s="323"/>
      <c r="E4" s="323"/>
      <c r="F4" s="324"/>
      <c r="H4" s="28">
        <v>1</v>
      </c>
      <c r="I4" s="1">
        <v>59</v>
      </c>
      <c r="J4" s="1">
        <v>76</v>
      </c>
      <c r="K4" s="1">
        <v>64</v>
      </c>
      <c r="L4" s="1">
        <v>54</v>
      </c>
      <c r="M4" s="1">
        <v>48</v>
      </c>
      <c r="N4" s="1">
        <v>68</v>
      </c>
      <c r="O4" s="42">
        <f t="shared" ref="O4:O26" si="1">(((I4+J4+K4+L4+M4+N4)/6)/60)*100</f>
        <v>102.49999999999999</v>
      </c>
      <c r="P4" s="161">
        <f t="shared" si="0"/>
        <v>102.49999999999999</v>
      </c>
    </row>
    <row r="5" spans="2:18" x14ac:dyDescent="0.3">
      <c r="B5" s="322" t="s">
        <v>62</v>
      </c>
      <c r="C5" s="323"/>
      <c r="D5" s="323"/>
      <c r="E5" s="323"/>
      <c r="F5" s="324"/>
      <c r="H5" s="28">
        <v>2</v>
      </c>
      <c r="I5" s="1">
        <v>58</v>
      </c>
      <c r="J5" s="1">
        <v>75</v>
      </c>
      <c r="K5" s="1">
        <v>62</v>
      </c>
      <c r="L5" s="1">
        <v>54</v>
      </c>
      <c r="M5" s="1">
        <v>46</v>
      </c>
      <c r="N5" s="1">
        <v>66</v>
      </c>
      <c r="O5" s="42">
        <f t="shared" si="1"/>
        <v>100.27777777777777</v>
      </c>
      <c r="P5" s="161">
        <f t="shared" si="0"/>
        <v>100.27777777777777</v>
      </c>
    </row>
    <row r="6" spans="2:18" x14ac:dyDescent="0.3">
      <c r="B6" s="123"/>
      <c r="C6" s="123"/>
      <c r="D6" s="123"/>
      <c r="E6" s="123"/>
      <c r="F6" s="123"/>
      <c r="H6" s="28">
        <v>3</v>
      </c>
      <c r="I6" s="1">
        <v>54</v>
      </c>
      <c r="J6" s="1">
        <v>74</v>
      </c>
      <c r="K6" s="1">
        <v>62</v>
      </c>
      <c r="L6" s="1">
        <v>53</v>
      </c>
      <c r="M6" s="1">
        <v>44</v>
      </c>
      <c r="N6" s="1">
        <v>65</v>
      </c>
      <c r="O6" s="42">
        <f t="shared" si="1"/>
        <v>97.777777777777771</v>
      </c>
      <c r="P6" s="161">
        <f t="shared" si="0"/>
        <v>97.777777777777771</v>
      </c>
    </row>
    <row r="7" spans="2:18" x14ac:dyDescent="0.3">
      <c r="B7" s="244" t="s">
        <v>61</v>
      </c>
      <c r="C7" s="245"/>
      <c r="D7" s="245"/>
      <c r="E7" s="245"/>
      <c r="F7" s="246"/>
      <c r="H7" s="28">
        <v>4</v>
      </c>
      <c r="I7" s="1">
        <v>55</v>
      </c>
      <c r="J7" s="1">
        <v>75</v>
      </c>
      <c r="K7" s="1">
        <v>62</v>
      </c>
      <c r="L7" s="1">
        <v>54</v>
      </c>
      <c r="M7" s="1">
        <v>46</v>
      </c>
      <c r="N7" s="1">
        <v>65</v>
      </c>
      <c r="O7" s="42">
        <f t="shared" si="1"/>
        <v>99.166666666666671</v>
      </c>
      <c r="P7" s="161">
        <f t="shared" si="0"/>
        <v>99.166666666666671</v>
      </c>
    </row>
    <row r="8" spans="2:18" x14ac:dyDescent="0.3">
      <c r="B8" s="268" t="s">
        <v>63</v>
      </c>
      <c r="C8" s="269"/>
      <c r="D8" s="269"/>
      <c r="E8" s="269"/>
      <c r="F8" s="270"/>
      <c r="H8" s="28">
        <v>5</v>
      </c>
      <c r="I8" s="1">
        <v>61</v>
      </c>
      <c r="J8" s="1">
        <v>80</v>
      </c>
      <c r="K8" s="1">
        <v>67</v>
      </c>
      <c r="L8" s="1">
        <v>60</v>
      </c>
      <c r="M8" s="1">
        <v>53</v>
      </c>
      <c r="N8" s="1">
        <v>68</v>
      </c>
      <c r="O8" s="42">
        <f t="shared" si="1"/>
        <v>108.05555555555554</v>
      </c>
      <c r="P8" s="161">
        <f t="shared" si="0"/>
        <v>108.05555555555554</v>
      </c>
    </row>
    <row r="9" spans="2:18" x14ac:dyDescent="0.3">
      <c r="B9" s="268" t="s">
        <v>64</v>
      </c>
      <c r="C9" s="269"/>
      <c r="D9" s="269"/>
      <c r="E9" s="269"/>
      <c r="F9" s="270"/>
      <c r="H9" s="28">
        <v>6</v>
      </c>
      <c r="I9" s="1">
        <v>78</v>
      </c>
      <c r="J9" s="1">
        <v>91</v>
      </c>
      <c r="K9" s="1">
        <v>79</v>
      </c>
      <c r="L9" s="1">
        <v>71</v>
      </c>
      <c r="M9" s="1">
        <v>65</v>
      </c>
      <c r="N9" s="1">
        <v>82</v>
      </c>
      <c r="O9" s="42">
        <f t="shared" si="1"/>
        <v>129.44444444444446</v>
      </c>
      <c r="P9" s="161"/>
    </row>
    <row r="10" spans="2:18" x14ac:dyDescent="0.3">
      <c r="B10" s="123"/>
      <c r="C10" s="123"/>
      <c r="D10" s="123"/>
      <c r="E10" s="123"/>
      <c r="F10" s="123"/>
      <c r="H10" s="28">
        <v>7</v>
      </c>
      <c r="I10" s="1">
        <v>92</v>
      </c>
      <c r="J10" s="1">
        <v>103</v>
      </c>
      <c r="K10" s="1">
        <v>91</v>
      </c>
      <c r="L10" s="1">
        <v>85</v>
      </c>
      <c r="M10" s="1">
        <v>69</v>
      </c>
      <c r="N10" s="1">
        <v>86</v>
      </c>
      <c r="O10" s="42">
        <f t="shared" si="1"/>
        <v>146.11111111111111</v>
      </c>
      <c r="P10" s="161"/>
      <c r="Q10" s="85"/>
    </row>
    <row r="11" spans="2:18" x14ac:dyDescent="0.3">
      <c r="B11" s="123"/>
      <c r="C11" s="123"/>
      <c r="D11" s="123"/>
      <c r="E11" s="123"/>
      <c r="F11" s="123"/>
      <c r="H11" s="28">
        <v>8</v>
      </c>
      <c r="I11" s="1">
        <v>102</v>
      </c>
      <c r="J11" s="1">
        <v>109</v>
      </c>
      <c r="K11" s="1">
        <v>93</v>
      </c>
      <c r="L11" s="1">
        <v>86</v>
      </c>
      <c r="M11" s="1">
        <v>65</v>
      </c>
      <c r="N11" s="1">
        <v>79</v>
      </c>
      <c r="O11" s="42">
        <f>(((I11+J11+K11+L11+M11+N11)/6)/60)*100</f>
        <v>148.33333333333334</v>
      </c>
      <c r="P11" s="161"/>
      <c r="Q11" s="85"/>
    </row>
    <row r="12" spans="2:18" x14ac:dyDescent="0.3">
      <c r="B12" s="244" t="s">
        <v>193</v>
      </c>
      <c r="C12" s="245"/>
      <c r="D12" s="245"/>
      <c r="E12" s="245"/>
      <c r="F12" s="246"/>
      <c r="H12" s="28">
        <v>9</v>
      </c>
      <c r="I12" s="1">
        <v>100</v>
      </c>
      <c r="J12" s="1">
        <v>101</v>
      </c>
      <c r="K12" s="1">
        <v>82</v>
      </c>
      <c r="L12" s="1">
        <v>74</v>
      </c>
      <c r="M12" s="1">
        <v>53</v>
      </c>
      <c r="N12" s="1">
        <v>67</v>
      </c>
      <c r="O12" s="42">
        <f t="shared" si="1"/>
        <v>132.5</v>
      </c>
      <c r="P12" s="161"/>
      <c r="Q12" s="85"/>
    </row>
    <row r="13" spans="2:18" x14ac:dyDescent="0.3">
      <c r="B13" s="322" t="s">
        <v>191</v>
      </c>
      <c r="C13" s="323"/>
      <c r="D13" s="323"/>
      <c r="E13" s="323"/>
      <c r="F13" s="324"/>
      <c r="H13" s="28">
        <v>10</v>
      </c>
      <c r="I13" s="1">
        <v>98</v>
      </c>
      <c r="J13" s="1">
        <v>91</v>
      </c>
      <c r="K13" s="1">
        <v>73</v>
      </c>
      <c r="L13" s="1">
        <v>62</v>
      </c>
      <c r="M13" s="1">
        <v>43</v>
      </c>
      <c r="N13" s="1">
        <v>55</v>
      </c>
      <c r="O13" s="42">
        <f t="shared" si="1"/>
        <v>117.2222222222222</v>
      </c>
      <c r="P13" s="161"/>
      <c r="Q13" s="85"/>
    </row>
    <row r="14" spans="2:18" x14ac:dyDescent="0.3">
      <c r="B14" s="322" t="s">
        <v>187</v>
      </c>
      <c r="C14" s="323"/>
      <c r="D14" s="323"/>
      <c r="E14" s="323"/>
      <c r="F14" s="324"/>
      <c r="H14" s="28">
        <v>11</v>
      </c>
      <c r="I14" s="1">
        <v>95</v>
      </c>
      <c r="J14" s="1">
        <v>84</v>
      </c>
      <c r="K14" s="1">
        <v>67</v>
      </c>
      <c r="L14" s="1">
        <v>55</v>
      </c>
      <c r="M14" s="1">
        <v>34</v>
      </c>
      <c r="N14" s="1">
        <v>48</v>
      </c>
      <c r="O14" s="42">
        <f t="shared" si="1"/>
        <v>106.38888888888889</v>
      </c>
      <c r="P14" s="161"/>
      <c r="Q14" s="85"/>
    </row>
    <row r="15" spans="2:18" x14ac:dyDescent="0.3">
      <c r="B15" s="322" t="s">
        <v>188</v>
      </c>
      <c r="C15" s="323"/>
      <c r="D15" s="323"/>
      <c r="E15" s="323"/>
      <c r="F15" s="324"/>
      <c r="H15" s="28">
        <v>12</v>
      </c>
      <c r="I15" s="1">
        <v>91</v>
      </c>
      <c r="J15" s="1">
        <v>79</v>
      </c>
      <c r="K15" s="1">
        <v>62</v>
      </c>
      <c r="L15" s="1">
        <v>49</v>
      </c>
      <c r="M15" s="1">
        <v>29</v>
      </c>
      <c r="N15" s="1">
        <v>43</v>
      </c>
      <c r="O15" s="42">
        <f t="shared" si="1"/>
        <v>98.055555555555557</v>
      </c>
      <c r="P15" s="161"/>
      <c r="Q15" s="85"/>
    </row>
    <row r="16" spans="2:18" x14ac:dyDescent="0.3">
      <c r="B16" s="123"/>
      <c r="C16" s="123"/>
      <c r="D16" s="123"/>
      <c r="E16" s="123"/>
      <c r="F16" s="123"/>
      <c r="H16" s="28">
        <v>13</v>
      </c>
      <c r="I16" s="1">
        <v>89</v>
      </c>
      <c r="J16" s="1">
        <v>75</v>
      </c>
      <c r="K16" s="1">
        <v>58</v>
      </c>
      <c r="L16" s="1">
        <v>43</v>
      </c>
      <c r="M16" s="1">
        <v>23</v>
      </c>
      <c r="N16" s="1">
        <v>38</v>
      </c>
      <c r="O16" s="42">
        <f t="shared" si="1"/>
        <v>90.555555555555557</v>
      </c>
      <c r="P16" s="161"/>
      <c r="Q16" s="85"/>
    </row>
    <row r="17" spans="2:20" x14ac:dyDescent="0.3">
      <c r="B17" s="322" t="s">
        <v>189</v>
      </c>
      <c r="C17" s="323"/>
      <c r="D17" s="323"/>
      <c r="E17" s="323"/>
      <c r="F17" s="324"/>
      <c r="H17" s="28">
        <v>14</v>
      </c>
      <c r="I17" s="1">
        <v>90</v>
      </c>
      <c r="J17" s="1">
        <v>77</v>
      </c>
      <c r="K17" s="1">
        <v>59</v>
      </c>
      <c r="L17" s="1">
        <v>41</v>
      </c>
      <c r="M17" s="1">
        <v>21</v>
      </c>
      <c r="N17" s="1">
        <v>36</v>
      </c>
      <c r="O17" s="42">
        <f t="shared" si="1"/>
        <v>90</v>
      </c>
      <c r="P17" s="161"/>
      <c r="Q17" s="85"/>
    </row>
    <row r="18" spans="2:20" x14ac:dyDescent="0.3">
      <c r="B18" s="123"/>
      <c r="C18" s="123"/>
      <c r="D18" s="123"/>
      <c r="E18" s="123"/>
      <c r="H18" s="28">
        <v>15</v>
      </c>
      <c r="I18" s="1">
        <v>93</v>
      </c>
      <c r="J18" s="1">
        <v>83</v>
      </c>
      <c r="K18" s="1">
        <v>62</v>
      </c>
      <c r="L18" s="1">
        <v>43</v>
      </c>
      <c r="M18" s="1">
        <v>22</v>
      </c>
      <c r="N18" s="1">
        <v>41</v>
      </c>
      <c r="O18" s="42">
        <f t="shared" si="1"/>
        <v>95.555555555555557</v>
      </c>
      <c r="P18" s="161"/>
    </row>
    <row r="19" spans="2:20" x14ac:dyDescent="0.3">
      <c r="B19" s="123"/>
      <c r="C19" s="123"/>
      <c r="D19" s="123"/>
      <c r="E19" s="123"/>
      <c r="H19" s="28">
        <v>16</v>
      </c>
      <c r="I19" s="1">
        <v>98</v>
      </c>
      <c r="J19" s="1">
        <v>91</v>
      </c>
      <c r="K19" s="1">
        <v>69</v>
      </c>
      <c r="L19" s="1">
        <v>48</v>
      </c>
      <c r="M19" s="1">
        <v>29</v>
      </c>
      <c r="N19" s="1">
        <v>48</v>
      </c>
      <c r="O19" s="42">
        <f t="shared" si="1"/>
        <v>106.38888888888889</v>
      </c>
      <c r="P19" s="161"/>
    </row>
    <row r="20" spans="2:20" x14ac:dyDescent="0.3">
      <c r="B20" s="123"/>
      <c r="C20" s="123"/>
      <c r="D20" s="123"/>
      <c r="E20" s="123"/>
      <c r="H20" s="28">
        <v>17</v>
      </c>
      <c r="I20" s="1">
        <v>106</v>
      </c>
      <c r="J20" s="1">
        <v>103</v>
      </c>
      <c r="K20" s="1">
        <v>83</v>
      </c>
      <c r="L20" s="1">
        <v>59</v>
      </c>
      <c r="M20" s="1">
        <v>46</v>
      </c>
      <c r="N20" s="1">
        <v>62</v>
      </c>
      <c r="O20" s="42">
        <f t="shared" si="1"/>
        <v>127.49999999999999</v>
      </c>
      <c r="P20" s="161"/>
      <c r="R20" s="85"/>
    </row>
    <row r="21" spans="2:20" x14ac:dyDescent="0.3">
      <c r="B21" s="242" t="s">
        <v>190</v>
      </c>
      <c r="C21" s="325"/>
      <c r="D21" s="325"/>
      <c r="E21" s="325"/>
      <c r="F21" s="146">
        <v>8</v>
      </c>
      <c r="H21" s="28">
        <v>18</v>
      </c>
      <c r="I21" s="1">
        <v>105</v>
      </c>
      <c r="J21" s="1">
        <v>109</v>
      </c>
      <c r="K21" s="1">
        <v>94</v>
      </c>
      <c r="L21" s="1">
        <v>74</v>
      </c>
      <c r="M21" s="1">
        <v>58</v>
      </c>
      <c r="N21" s="1">
        <v>76</v>
      </c>
      <c r="O21" s="42">
        <f t="shared" si="1"/>
        <v>143.33333333333334</v>
      </c>
      <c r="P21" s="161"/>
      <c r="R21" s="85"/>
    </row>
    <row r="22" spans="2:20" x14ac:dyDescent="0.3">
      <c r="B22" s="199" t="s">
        <v>192</v>
      </c>
      <c r="C22" s="200"/>
      <c r="D22" s="200"/>
      <c r="E22" s="200"/>
      <c r="F22" s="79">
        <f>SUM(P3:P26)/F21</f>
        <v>107.32638888888889</v>
      </c>
      <c r="H22" s="28">
        <v>19</v>
      </c>
      <c r="I22" s="1">
        <v>97</v>
      </c>
      <c r="J22" s="1">
        <v>104</v>
      </c>
      <c r="K22" s="1">
        <v>95</v>
      </c>
      <c r="L22" s="1">
        <v>83</v>
      </c>
      <c r="M22" s="1">
        <v>70</v>
      </c>
      <c r="N22" s="1">
        <v>91</v>
      </c>
      <c r="O22" s="42">
        <f t="shared" si="1"/>
        <v>150</v>
      </c>
      <c r="P22" s="161"/>
      <c r="R22" s="85"/>
    </row>
    <row r="23" spans="2:20" x14ac:dyDescent="0.3">
      <c r="B23" s="199" t="s">
        <v>214</v>
      </c>
      <c r="C23" s="200"/>
      <c r="D23" s="200"/>
      <c r="E23" s="200"/>
      <c r="F23" s="66">
        <f>F22/100</f>
        <v>1.0732638888888888</v>
      </c>
      <c r="H23" s="28">
        <v>20</v>
      </c>
      <c r="I23" s="1">
        <v>90</v>
      </c>
      <c r="J23" s="1">
        <v>95</v>
      </c>
      <c r="K23" s="1">
        <v>87</v>
      </c>
      <c r="L23" s="1">
        <v>84</v>
      </c>
      <c r="M23" s="1">
        <v>76</v>
      </c>
      <c r="N23" s="1">
        <v>101</v>
      </c>
      <c r="O23" s="42">
        <f t="shared" si="1"/>
        <v>148.05555555555554</v>
      </c>
      <c r="P23" s="161"/>
      <c r="R23" s="85"/>
    </row>
    <row r="24" spans="2:20" x14ac:dyDescent="0.3">
      <c r="H24" s="28">
        <v>21</v>
      </c>
      <c r="I24" s="1">
        <v>83</v>
      </c>
      <c r="J24" s="1">
        <v>90</v>
      </c>
      <c r="K24" s="1">
        <v>81</v>
      </c>
      <c r="L24" s="1">
        <v>76</v>
      </c>
      <c r="M24" s="1">
        <v>72</v>
      </c>
      <c r="N24" s="1">
        <v>95</v>
      </c>
      <c r="O24" s="42">
        <f t="shared" si="1"/>
        <v>138.05555555555554</v>
      </c>
      <c r="P24" s="161"/>
      <c r="R24" s="85"/>
    </row>
    <row r="25" spans="2:20" x14ac:dyDescent="0.3">
      <c r="H25" s="28">
        <v>22</v>
      </c>
      <c r="I25" s="1">
        <v>79</v>
      </c>
      <c r="J25" s="1">
        <v>86</v>
      </c>
      <c r="K25" s="1">
        <v>77</v>
      </c>
      <c r="L25" s="1">
        <v>70</v>
      </c>
      <c r="M25" s="1">
        <v>63</v>
      </c>
      <c r="N25" s="1">
        <v>85</v>
      </c>
      <c r="O25" s="42">
        <f t="shared" si="1"/>
        <v>127.77777777777779</v>
      </c>
      <c r="P25" s="161">
        <f>O25</f>
        <v>127.77777777777779</v>
      </c>
      <c r="R25" s="85"/>
    </row>
    <row r="26" spans="2:20" x14ac:dyDescent="0.3">
      <c r="H26" s="28">
        <v>23</v>
      </c>
      <c r="I26" s="1">
        <v>70</v>
      </c>
      <c r="J26" s="1">
        <v>80</v>
      </c>
      <c r="K26" s="1">
        <v>72</v>
      </c>
      <c r="L26" s="1">
        <v>59</v>
      </c>
      <c r="M26" s="1">
        <v>54</v>
      </c>
      <c r="N26" s="1">
        <v>76</v>
      </c>
      <c r="O26" s="42">
        <f t="shared" si="1"/>
        <v>114.16666666666666</v>
      </c>
      <c r="P26" s="161">
        <f>O26</f>
        <v>114.16666666666666</v>
      </c>
      <c r="R26" s="85"/>
    </row>
    <row r="27" spans="2:20" x14ac:dyDescent="0.3">
      <c r="P27" s="85"/>
      <c r="Q27" s="85"/>
      <c r="R27" s="85"/>
      <c r="S27" s="85"/>
      <c r="T27" s="85"/>
    </row>
    <row r="28" spans="2:20" x14ac:dyDescent="0.3">
      <c r="P28" s="85"/>
      <c r="Q28" s="85"/>
      <c r="R28" s="85"/>
      <c r="S28" s="85"/>
      <c r="T28" s="85"/>
    </row>
  </sheetData>
  <sheetProtection sheet="1" objects="1" scenarios="1" selectLockedCells="1"/>
  <mergeCells count="15">
    <mergeCell ref="B2:F2"/>
    <mergeCell ref="B3:F3"/>
    <mergeCell ref="B4:F4"/>
    <mergeCell ref="B5:F5"/>
    <mergeCell ref="B22:E22"/>
    <mergeCell ref="B23:E23"/>
    <mergeCell ref="B7:F7"/>
    <mergeCell ref="B8:F8"/>
    <mergeCell ref="B9:F9"/>
    <mergeCell ref="B12:F12"/>
    <mergeCell ref="B13:F13"/>
    <mergeCell ref="B14:F14"/>
    <mergeCell ref="B15:F15"/>
    <mergeCell ref="B17:F17"/>
    <mergeCell ref="B21:E21"/>
  </mergeCells>
  <conditionalFormatting sqref="O3:O26">
    <cfRule type="colorScale" priority="1">
      <colorScale>
        <cfvo type="min"/>
        <cfvo type="percentile" val="50"/>
        <cfvo type="max"/>
        <color rgb="FF63BE7B"/>
        <color rgb="FFFFEB84"/>
        <color rgb="FFF8696B"/>
      </colorScale>
    </cfRule>
  </conditionalFormatting>
  <hyperlinks>
    <hyperlink ref="B8" r:id="rId1" xr:uid="{459EFC9D-022B-4DC1-BD5E-0689088CBDE2}"/>
    <hyperlink ref="B9" r:id="rId2" xr:uid="{22900DD3-5D44-424E-93A8-8B03623B47C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B08F-9836-4EA3-A206-6DDDF79A76DF}">
  <sheetPr codeName="Sheet1">
    <tabColor rgb="FF0070C0"/>
  </sheetPr>
  <dimension ref="B1:AJ55"/>
  <sheetViews>
    <sheetView showGridLines="0" tabSelected="1" zoomScale="70" zoomScaleNormal="70" workbookViewId="0">
      <selection activeCell="J35" sqref="J35:K35"/>
    </sheetView>
  </sheetViews>
  <sheetFormatPr defaultColWidth="8.88671875" defaultRowHeight="14.4" x14ac:dyDescent="0.3"/>
  <cols>
    <col min="1" max="1" width="2.21875" customWidth="1"/>
    <col min="12" max="12" width="8.21875" customWidth="1"/>
    <col min="14" max="14" width="11.109375" bestFit="1" customWidth="1"/>
    <col min="22" max="22" width="5.88671875" customWidth="1"/>
    <col min="23" max="24" width="8.88671875" customWidth="1"/>
    <col min="25" max="25" width="3.44140625" customWidth="1"/>
    <col min="26" max="26" width="9.88671875" customWidth="1"/>
    <col min="27" max="27" width="9.109375" customWidth="1"/>
    <col min="28" max="28" width="9" customWidth="1"/>
    <col min="29" max="29" width="8.88671875" customWidth="1"/>
    <col min="34" max="34" width="11.109375" bestFit="1" customWidth="1"/>
    <col min="35" max="35" width="8.88671875" customWidth="1"/>
  </cols>
  <sheetData>
    <row r="1" spans="27:31" ht="8.4" customHeight="1" x14ac:dyDescent="0.3"/>
    <row r="3" spans="27:31" x14ac:dyDescent="0.3">
      <c r="AA3" s="29"/>
      <c r="AB3" s="29"/>
      <c r="AC3" s="30" t="s">
        <v>130</v>
      </c>
      <c r="AD3" s="30" t="s">
        <v>27</v>
      </c>
      <c r="AE3" s="3" t="s">
        <v>126</v>
      </c>
    </row>
    <row r="4" spans="27:31" x14ac:dyDescent="0.3">
      <c r="AA4" s="74" t="s">
        <v>31</v>
      </c>
      <c r="AB4" s="30" t="s">
        <v>14</v>
      </c>
      <c r="AC4" s="31">
        <f>IF($U$34=2024,'2024'!H41,IF($U$34=2025,'2025'!H41,IF($U$34=2026,'2026'!H41,IF($U$34=2027,'2027'!H41,IF($U$34=2028,'2028'!H41,IF($U$34=2029,'2029'!H41))))))</f>
        <v>4.3118662292976424</v>
      </c>
      <c r="AD4" s="31">
        <f>IF($U$34=2024,'2024'!I41,IF($U$34=2025,'2025'!I41,IF($U$34=2026,'2026'!I41,IF($U$34=2027,'2027'!I41,IF($U$34=2028,'2028'!I41,IF($U$34=2029,'2029'!I41))))))</f>
        <v>0.34499999999999997</v>
      </c>
      <c r="AE4" s="31">
        <f>IF($U$34=2024,'2024'!J41,IF($U$34=2025,'2025'!J41,IF($U$34=2026,'2026'!J41,IF($U$34=2027,'2027'!J41,IF($U$34=2028,'2028'!J41,IF($U$34=2029,'2029'!J41))))))</f>
        <v>4</v>
      </c>
    </row>
    <row r="5" spans="27:31" x14ac:dyDescent="0.3">
      <c r="AA5" s="74"/>
      <c r="AB5" s="30" t="s">
        <v>15</v>
      </c>
      <c r="AC5" s="31">
        <f>IF($U$34=2024,'2024'!H42,IF($U$34=2025,'2025'!H42,IF($U$34=2026,'2026'!H42,IF($U$34=2027,'2027'!H42,IF($U$34=2028,'2028'!H42,IF($U$34=2029,'2029'!H42))))))</f>
        <v>1.6528820545640963</v>
      </c>
      <c r="AD5" s="31">
        <f>IF($U$34=2024,'2024'!I42,IF($U$34=2025,'2025'!I42,IF($U$34=2026,'2026'!I42,IF($U$34=2027,'2027'!I42,IF($U$34=2028,'2028'!I42,IF($U$34=2029,'2029'!I42))))))</f>
        <v>0</v>
      </c>
      <c r="AE5" s="31">
        <f>IF($U$34=2024,'2024'!J42,IF($U$34=2025,'2025'!J42,IF($U$34=2026,'2026'!J42,IF($U$34=2027,'2027'!J42,IF($U$34=2028,'2028'!J42,IF($U$34=2029,'2029'!J42))))))</f>
        <v>4</v>
      </c>
    </row>
    <row r="6" spans="27:31" x14ac:dyDescent="0.3">
      <c r="AA6" s="75" t="s">
        <v>24</v>
      </c>
      <c r="AB6" s="30" t="s">
        <v>25</v>
      </c>
      <c r="AC6" s="30" t="s">
        <v>22</v>
      </c>
      <c r="AD6" s="30" t="s">
        <v>21</v>
      </c>
      <c r="AE6" s="29"/>
    </row>
    <row r="7" spans="27:31" x14ac:dyDescent="0.3">
      <c r="AA7" s="31">
        <f>IF($U$34=2024,'2024'!F45,IF($U$34=2025,'2025'!F45,IF($U$34=2026,'2026'!F45,IF($U$34=2027,'2027'!F45,IF($U$34=2028,'2028'!F45,IF($U$34=2029,'2029'!F45))))))</f>
        <v>1.3952430555555555</v>
      </c>
      <c r="AB7" s="31">
        <f>IF($U$34=2024,'2024'!G45,IF($U$34=2025,'2025'!G45,IF($U$34=2026,'2026'!G45,IF($U$34=2027,'2027'!G45,IF($U$34=2028,'2028'!G45,IF($U$34=2029,'2029'!G45))))))</f>
        <v>1.3414666666666666</v>
      </c>
      <c r="AC7" s="31">
        <f>IF($U$34=2024,'2024'!H45,IF($U$34=2025,'2025'!H45,IF($U$34=2026,'2026'!H45,IF($U$34=2027,'2027'!H45,IF($U$34=2028,'2028'!H45,IF($U$34=2029,'2029'!H45))))))</f>
        <v>0.27557030593946463</v>
      </c>
      <c r="AD7" s="29">
        <v>1E-14</v>
      </c>
      <c r="AE7" s="32" t="str">
        <f>"Total "&amp;ROUND(AC4+AD4+AA7+AB7+AC7+AE4,2)</f>
        <v>Total 11,67</v>
      </c>
    </row>
    <row r="8" spans="27:31" x14ac:dyDescent="0.3">
      <c r="AA8" s="31">
        <f>IF($U$34=2024,'2024'!F46,IF($U$34=2025,'2025'!F46,IF($U$34=2026,'2026'!F46,IF($U$34=2027,'2027'!F46,IF($U$34=2028,'2028'!F46,IF($U$34=2029,'2029'!F46))))))</f>
        <v>3.3932000000000002</v>
      </c>
      <c r="AB8" s="31">
        <f>IF($U$34=2024,'2024'!G46,IF($U$34=2025,'2025'!G46,IF($U$34=2026,'2026'!G46,IF($U$34=2027,'2027'!G46,IF($U$34=2028,'2028'!G46,IF($U$34=2029,'2029'!G46))))))</f>
        <v>0.88906666666666667</v>
      </c>
      <c r="AC8" s="31">
        <f>IF($U$34=2024,'2024'!H46,IF($U$34=2025,'2025'!H46,IF($U$34=2026,'2026'!H46,IF($U$34=2027,'2027'!H46,IF($U$34=2028,'2028'!H46,IF($U$34=2029,'2029'!H46))))))</f>
        <v>1.0053938974851282</v>
      </c>
      <c r="AD8" s="29">
        <v>1E-14</v>
      </c>
      <c r="AE8" s="32" t="str">
        <f>"Total "&amp;ROUND(AC5+AD5+AA8+AB8+AC8+AE5,2)</f>
        <v>Total 10,94</v>
      </c>
    </row>
    <row r="24" spans="33:36" x14ac:dyDescent="0.3">
      <c r="AG24" s="74"/>
      <c r="AH24" s="74"/>
      <c r="AI24" s="74"/>
      <c r="AJ24" s="74"/>
    </row>
    <row r="34" spans="2:34" ht="18" x14ac:dyDescent="0.35">
      <c r="B34" s="231" t="s">
        <v>227</v>
      </c>
      <c r="C34" s="231"/>
      <c r="D34" s="231"/>
      <c r="E34" s="231"/>
      <c r="F34" s="231"/>
      <c r="G34" s="231"/>
      <c r="H34" s="231"/>
      <c r="I34" s="231"/>
      <c r="J34" s="232">
        <v>90000</v>
      </c>
      <c r="K34" s="233"/>
      <c r="L34" s="132"/>
      <c r="M34" s="231" t="s">
        <v>229</v>
      </c>
      <c r="N34" s="231"/>
      <c r="O34" s="231"/>
      <c r="P34" s="231"/>
      <c r="Q34" s="231"/>
      <c r="R34" s="231"/>
      <c r="S34" s="231"/>
      <c r="T34" s="231"/>
      <c r="U34" s="229">
        <v>2025</v>
      </c>
      <c r="V34" s="230"/>
    </row>
    <row r="35" spans="2:34" ht="18" x14ac:dyDescent="0.35">
      <c r="B35" s="231" t="s">
        <v>228</v>
      </c>
      <c r="C35" s="231"/>
      <c r="D35" s="231"/>
      <c r="E35" s="231"/>
      <c r="F35" s="231"/>
      <c r="G35" s="231"/>
      <c r="H35" s="231"/>
      <c r="I35" s="231"/>
      <c r="J35" s="229">
        <v>8</v>
      </c>
      <c r="K35" s="230"/>
      <c r="L35" s="132"/>
      <c r="M35" s="226" t="s">
        <v>235</v>
      </c>
      <c r="N35" s="227"/>
      <c r="O35" s="227"/>
      <c r="P35" s="227"/>
      <c r="Q35" s="227"/>
      <c r="R35" s="227"/>
      <c r="S35" s="227"/>
      <c r="T35" s="228"/>
      <c r="U35" s="143">
        <v>0.1</v>
      </c>
      <c r="V35" s="143">
        <v>0.9</v>
      </c>
    </row>
    <row r="36" spans="2:34" x14ac:dyDescent="0.3">
      <c r="AH36" s="81"/>
    </row>
    <row r="37" spans="2:34" ht="25.8" x14ac:dyDescent="0.5">
      <c r="B37" s="141" t="s">
        <v>234</v>
      </c>
      <c r="C37" s="140"/>
      <c r="D37" s="140"/>
      <c r="E37" s="140"/>
      <c r="F37" s="140"/>
      <c r="G37" s="140"/>
      <c r="H37" s="140"/>
      <c r="I37" s="140"/>
      <c r="J37" s="140"/>
      <c r="K37" s="140"/>
      <c r="L37" s="140"/>
      <c r="M37" s="140"/>
      <c r="N37" s="140"/>
      <c r="O37" s="140"/>
      <c r="P37" s="140"/>
      <c r="Q37" s="140"/>
      <c r="R37" s="140"/>
      <c r="S37" s="140"/>
      <c r="T37" s="140"/>
      <c r="U37" s="224">
        <f>IF($U$34=2024,(SUMPRODUCT('2024'!G10:I10,Dashboard!U35:V35)/100),
IF($U$34=2025,(SUMPRODUCT('2025'!H10:I10,Dashboard!U35:V35)/100),
IF($U$34=2026,(SUMPRODUCT('2026'!H10:I10,Dashboard!U35:V35)/100),
IF($U$34=2027,(SUMPRODUCT('2027'!H10:I10,Dashboard!U35:V35)/100),
IF($U$34=2028,(SUMPRODUCT('2028'!H10:I10,Dashboard!U35:V35)/100),
IF($U$34=2029,(SUMPRODUCT('2029'!H10:I10,Dashboard!U35:V35)/100)))))))</f>
        <v>9.1076090869480458E-2</v>
      </c>
      <c r="V37" s="225"/>
      <c r="AH37" s="81"/>
    </row>
    <row r="50" spans="15:15" x14ac:dyDescent="0.3">
      <c r="O50">
        <v>2024</v>
      </c>
    </row>
    <row r="51" spans="15:15" x14ac:dyDescent="0.3">
      <c r="O51">
        <v>2025</v>
      </c>
    </row>
    <row r="52" spans="15:15" x14ac:dyDescent="0.3">
      <c r="O52">
        <v>2026</v>
      </c>
    </row>
    <row r="53" spans="15:15" x14ac:dyDescent="0.3">
      <c r="O53">
        <v>2027</v>
      </c>
    </row>
    <row r="54" spans="15:15" x14ac:dyDescent="0.3">
      <c r="O54">
        <v>2028</v>
      </c>
    </row>
    <row r="55" spans="15:15" x14ac:dyDescent="0.3">
      <c r="O55">
        <v>2029</v>
      </c>
    </row>
  </sheetData>
  <sheetProtection sheet="1" objects="1" scenarios="1" selectLockedCells="1"/>
  <mergeCells count="8">
    <mergeCell ref="U37:V37"/>
    <mergeCell ref="M35:T35"/>
    <mergeCell ref="J35:K35"/>
    <mergeCell ref="B34:I34"/>
    <mergeCell ref="M34:T34"/>
    <mergeCell ref="U34:V34"/>
    <mergeCell ref="B35:I35"/>
    <mergeCell ref="J34:K34"/>
  </mergeCells>
  <dataValidations count="1">
    <dataValidation type="list" allowBlank="1" showInputMessage="1" showErrorMessage="1" sqref="U34" xr:uid="{C9305AEF-525E-492B-904A-1185D018ED7D}">
      <formula1>$O$50:$O$56</formula1>
    </dataValidation>
  </dataValidations>
  <pageMargins left="0.7" right="0.7" top="0.75" bottom="0.75" header="0.3" footer="0.3"/>
  <pageSetup paperSize="9" orientation="portrait"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D946-B442-496B-922A-87FF6C303638}">
  <sheetPr codeName="Sheet6">
    <tabColor rgb="FFFFC000"/>
  </sheetPr>
  <dimension ref="B2:E68"/>
  <sheetViews>
    <sheetView showGridLines="0" zoomScale="85" zoomScaleNormal="85" workbookViewId="0">
      <selection activeCell="E11" sqref="E11"/>
    </sheetView>
  </sheetViews>
  <sheetFormatPr defaultRowHeight="14.4" x14ac:dyDescent="0.3"/>
  <cols>
    <col min="1" max="1" width="2" customWidth="1"/>
    <col min="2" max="2" width="41.109375" bestFit="1" customWidth="1"/>
    <col min="3" max="3" width="12.6640625" bestFit="1" customWidth="1"/>
    <col min="4" max="4" width="13.21875" bestFit="1" customWidth="1"/>
    <col min="5" max="5" width="12.88671875" bestFit="1" customWidth="1"/>
    <col min="7" max="7" width="52.88671875" bestFit="1" customWidth="1"/>
    <col min="8" max="9" width="10.109375" bestFit="1" customWidth="1"/>
  </cols>
  <sheetData>
    <row r="2" spans="2:5" ht="23.4" x14ac:dyDescent="0.45">
      <c r="B2" s="236" t="s">
        <v>168</v>
      </c>
      <c r="C2" s="236"/>
      <c r="D2" s="236"/>
      <c r="E2" s="236"/>
    </row>
    <row r="4" spans="2:5" ht="18" x14ac:dyDescent="0.35">
      <c r="B4" s="237" t="s">
        <v>3</v>
      </c>
      <c r="C4" s="237"/>
      <c r="D4" s="237"/>
      <c r="E4" s="237"/>
    </row>
    <row r="5" spans="2:5" x14ac:dyDescent="0.3">
      <c r="B5" s="238" t="s">
        <v>68</v>
      </c>
      <c r="C5" s="238"/>
      <c r="D5" s="238"/>
      <c r="E5" s="2"/>
    </row>
    <row r="6" spans="2:5" x14ac:dyDescent="0.3">
      <c r="B6" s="238" t="s">
        <v>5</v>
      </c>
      <c r="C6" s="238"/>
      <c r="D6" s="238"/>
      <c r="E6" s="8"/>
    </row>
    <row r="7" spans="2:5" x14ac:dyDescent="0.3">
      <c r="B7" s="238" t="s">
        <v>23</v>
      </c>
      <c r="C7" s="238"/>
      <c r="D7" s="238"/>
      <c r="E7" s="5"/>
    </row>
    <row r="9" spans="2:5" x14ac:dyDescent="0.3">
      <c r="B9" s="234" t="s">
        <v>19</v>
      </c>
      <c r="C9" s="234"/>
      <c r="D9" s="234"/>
      <c r="E9" s="234"/>
    </row>
    <row r="10" spans="2:5" x14ac:dyDescent="0.3">
      <c r="B10" s="239" t="s">
        <v>10</v>
      </c>
      <c r="C10" s="239"/>
      <c r="D10" s="239"/>
      <c r="E10" s="144">
        <f>Dashboard!J34</f>
        <v>90000</v>
      </c>
    </row>
    <row r="11" spans="2:5" x14ac:dyDescent="0.3">
      <c r="B11" s="239" t="s">
        <v>71</v>
      </c>
      <c r="C11" s="239"/>
      <c r="D11" s="239"/>
      <c r="E11" s="145">
        <f>Dashboard!J35</f>
        <v>8</v>
      </c>
    </row>
    <row r="12" spans="2:5" x14ac:dyDescent="0.3">
      <c r="B12" s="240" t="s">
        <v>128</v>
      </c>
      <c r="C12" s="240"/>
      <c r="D12" s="240"/>
      <c r="E12" s="12">
        <f>$E$10/12</f>
        <v>7500</v>
      </c>
    </row>
    <row r="13" spans="2:5" x14ac:dyDescent="0.3">
      <c r="B13" s="240" t="s">
        <v>129</v>
      </c>
      <c r="C13" s="240"/>
      <c r="D13" s="240"/>
      <c r="E13" s="13">
        <f>$E$11*12</f>
        <v>96</v>
      </c>
    </row>
    <row r="14" spans="2:5" x14ac:dyDescent="0.3">
      <c r="B14" s="239" t="s">
        <v>139</v>
      </c>
      <c r="C14" s="239"/>
      <c r="D14" s="239"/>
      <c r="E14" s="14">
        <v>300</v>
      </c>
    </row>
    <row r="15" spans="2:5" x14ac:dyDescent="0.3">
      <c r="B15" s="240" t="s">
        <v>138</v>
      </c>
      <c r="C15" s="240"/>
      <c r="D15" s="240"/>
      <c r="E15" s="12">
        <f>E10/E14</f>
        <v>300</v>
      </c>
    </row>
    <row r="17" spans="2:5" x14ac:dyDescent="0.3">
      <c r="B17" s="234" t="s">
        <v>140</v>
      </c>
      <c r="C17" s="234"/>
      <c r="D17" s="234"/>
      <c r="E17" s="234"/>
    </row>
    <row r="18" spans="2:5" x14ac:dyDescent="0.3">
      <c r="B18" s="234"/>
      <c r="C18" s="234"/>
      <c r="D18" s="28" t="s">
        <v>0</v>
      </c>
      <c r="E18" s="28" t="s">
        <v>7</v>
      </c>
    </row>
    <row r="19" spans="2:5" x14ac:dyDescent="0.3">
      <c r="B19" s="235" t="s">
        <v>141</v>
      </c>
      <c r="C19" s="235"/>
      <c r="D19" s="146">
        <v>550</v>
      </c>
      <c r="E19" s="68"/>
    </row>
    <row r="20" spans="2:5" x14ac:dyDescent="0.3">
      <c r="B20" s="235" t="s">
        <v>142</v>
      </c>
      <c r="C20" s="235"/>
      <c r="D20" s="146">
        <v>300</v>
      </c>
      <c r="E20" s="68"/>
    </row>
    <row r="21" spans="2:5" x14ac:dyDescent="0.3">
      <c r="B21" s="235" t="s">
        <v>207</v>
      </c>
      <c r="C21" s="235"/>
      <c r="D21" s="145">
        <v>1.3</v>
      </c>
      <c r="E21" s="145">
        <v>0.28799999999999998</v>
      </c>
    </row>
    <row r="22" spans="2:5" x14ac:dyDescent="0.3">
      <c r="B22" s="241" t="s">
        <v>143</v>
      </c>
      <c r="C22" s="241"/>
      <c r="D22" s="147">
        <f>D19/D21</f>
        <v>423.07692307692304</v>
      </c>
      <c r="E22" s="67"/>
    </row>
    <row r="24" spans="2:5" x14ac:dyDescent="0.3">
      <c r="B24" s="234" t="s">
        <v>19</v>
      </c>
      <c r="C24" s="234"/>
      <c r="D24" s="28" t="s">
        <v>0</v>
      </c>
      <c r="E24" s="28" t="s">
        <v>7</v>
      </c>
    </row>
    <row r="25" spans="2:5" x14ac:dyDescent="0.3">
      <c r="B25" s="244" t="s">
        <v>8</v>
      </c>
      <c r="C25" s="245"/>
      <c r="D25" s="245"/>
      <c r="E25" s="246"/>
    </row>
    <row r="26" spans="2:5" x14ac:dyDescent="0.3">
      <c r="B26" s="250" t="s">
        <v>130</v>
      </c>
      <c r="C26" s="251"/>
      <c r="D26" s="251"/>
      <c r="E26" s="252"/>
    </row>
    <row r="27" spans="2:5" x14ac:dyDescent="0.3">
      <c r="B27" s="242" t="s">
        <v>38</v>
      </c>
      <c r="C27" s="243"/>
      <c r="D27" s="148">
        <v>3000000</v>
      </c>
      <c r="E27" s="148">
        <v>1150000</v>
      </c>
    </row>
    <row r="28" spans="2:5" x14ac:dyDescent="0.3">
      <c r="B28" s="242" t="s">
        <v>37</v>
      </c>
      <c r="C28" s="243"/>
      <c r="D28" s="149">
        <v>0</v>
      </c>
      <c r="E28" s="149">
        <v>0</v>
      </c>
    </row>
    <row r="29" spans="2:5" x14ac:dyDescent="0.3">
      <c r="B29" s="199" t="s">
        <v>36</v>
      </c>
      <c r="C29" s="201"/>
      <c r="D29" s="83">
        <f>(D28/D27)*100</f>
        <v>0</v>
      </c>
      <c r="E29" s="83">
        <f>(E28/E27)*100</f>
        <v>0</v>
      </c>
    </row>
    <row r="30" spans="2:5" x14ac:dyDescent="0.3">
      <c r="B30" s="199" t="s">
        <v>39</v>
      </c>
      <c r="C30" s="201"/>
      <c r="D30" s="47">
        <f>D27-D28</f>
        <v>3000000</v>
      </c>
      <c r="E30" s="47">
        <f>E27-E28</f>
        <v>1150000</v>
      </c>
    </row>
    <row r="31" spans="2:5" x14ac:dyDescent="0.3">
      <c r="B31" s="242" t="s">
        <v>40</v>
      </c>
      <c r="C31" s="243"/>
      <c r="D31" s="149">
        <v>0</v>
      </c>
      <c r="E31" s="149">
        <v>0</v>
      </c>
    </row>
    <row r="32" spans="2:5" x14ac:dyDescent="0.3">
      <c r="B32" s="242" t="s">
        <v>41</v>
      </c>
      <c r="C32" s="243"/>
      <c r="D32" s="150">
        <f>IF($E$11=1,15,IF($E$11=2,15,IF($E$11=3,15,IF($E$11=4,15,IF($E$11=5,15,IF($E$11=6,15,IF($E$11=7,12.5,IF($E$11=8,10,IF($E$11=9,7.5,IF($E$11=10,5,IF($E$11=11,0,IF($E$11=12,0))))))))))))</f>
        <v>10</v>
      </c>
      <c r="E32" s="150">
        <f>IF($E$11=1,15,IF($E$11=2,15,IF($E$11=3,15,IF($E$11=4,15,IF($E$11=5,15,IF($E$11=6,15,IF($E$11=7,12.5,IF($E$11=8,10,IF($E$11=9,7.5,IF($E$11=10,5,IF($E$11=11,0,IF($E$11=12,0))))))))))))</f>
        <v>10</v>
      </c>
    </row>
    <row r="33" spans="2:5" x14ac:dyDescent="0.3">
      <c r="B33" s="199" t="s">
        <v>70</v>
      </c>
      <c r="C33" s="201"/>
      <c r="D33" s="47">
        <f>(D27/100)*D32</f>
        <v>300000</v>
      </c>
      <c r="E33" s="47">
        <f>(E27/100)*E32</f>
        <v>115000</v>
      </c>
    </row>
    <row r="34" spans="2:5" x14ac:dyDescent="0.3">
      <c r="B34" s="242" t="s">
        <v>1</v>
      </c>
      <c r="C34" s="243"/>
      <c r="D34" s="151">
        <v>0.03</v>
      </c>
      <c r="E34" s="151">
        <v>0.03</v>
      </c>
    </row>
    <row r="35" spans="2:5" x14ac:dyDescent="0.3">
      <c r="B35" s="199" t="s">
        <v>42</v>
      </c>
      <c r="C35" s="201"/>
      <c r="D35" s="47">
        <f>D38-(D30-D33-D31)</f>
        <v>404543.68509430252</v>
      </c>
      <c r="E35" s="47">
        <f>E38-(E30-E33-E31)</f>
        <v>155075.07928614924</v>
      </c>
    </row>
    <row r="36" spans="2:5" ht="16.2" x14ac:dyDescent="0.3">
      <c r="B36" s="253" t="s">
        <v>43</v>
      </c>
      <c r="C36" s="254"/>
      <c r="D36" s="44">
        <f>PMT(D34/12,$E$13,(D30-D31)*-1,D33,1)</f>
        <v>32338.996719732317</v>
      </c>
      <c r="E36" s="44">
        <f>PMT(E34/12,$E$13,(E30-E31)*-1,E33,1)</f>
        <v>12396.615409230722</v>
      </c>
    </row>
    <row r="37" spans="2:5" x14ac:dyDescent="0.3">
      <c r="B37" s="247" t="s">
        <v>44</v>
      </c>
      <c r="C37" s="247"/>
      <c r="D37" s="18">
        <f>D36*12</f>
        <v>388067.96063678782</v>
      </c>
      <c r="E37" s="18">
        <f>E36*12</f>
        <v>148759.38491076865</v>
      </c>
    </row>
    <row r="38" spans="2:5" x14ac:dyDescent="0.3">
      <c r="B38" s="247" t="s">
        <v>72</v>
      </c>
      <c r="C38" s="247"/>
      <c r="D38" s="18">
        <f>D37*E11</f>
        <v>3104543.6850943025</v>
      </c>
      <c r="E38" s="18">
        <f>E37*E11</f>
        <v>1190075.0792861492</v>
      </c>
    </row>
    <row r="39" spans="2:5" x14ac:dyDescent="0.3">
      <c r="B39" s="249" t="s">
        <v>27</v>
      </c>
      <c r="C39" s="249"/>
      <c r="D39" s="249"/>
      <c r="E39" s="249"/>
    </row>
    <row r="40" spans="2:5" x14ac:dyDescent="0.3">
      <c r="B40" s="235" t="s">
        <v>136</v>
      </c>
      <c r="C40" s="235"/>
      <c r="D40" s="152">
        <v>50</v>
      </c>
      <c r="E40" s="108"/>
    </row>
    <row r="41" spans="2:5" x14ac:dyDescent="0.3">
      <c r="B41" s="235" t="s">
        <v>132</v>
      </c>
      <c r="C41" s="235"/>
      <c r="D41" s="149">
        <v>150000</v>
      </c>
      <c r="E41" s="70"/>
    </row>
    <row r="42" spans="2:5" x14ac:dyDescent="0.3">
      <c r="B42" s="235" t="s">
        <v>131</v>
      </c>
      <c r="C42" s="235"/>
      <c r="D42" s="144">
        <v>80</v>
      </c>
      <c r="E42" s="70"/>
    </row>
    <row r="43" spans="2:5" x14ac:dyDescent="0.3">
      <c r="B43" s="248" t="s">
        <v>133</v>
      </c>
      <c r="C43" s="248"/>
      <c r="D43" s="47">
        <f>(D42-25)*1200+16400</f>
        <v>82400</v>
      </c>
      <c r="E43" s="70"/>
    </row>
    <row r="44" spans="2:5" x14ac:dyDescent="0.3">
      <c r="B44" s="235" t="s">
        <v>178</v>
      </c>
      <c r="C44" s="235"/>
      <c r="D44" s="149">
        <v>16000</v>
      </c>
      <c r="E44" s="70"/>
    </row>
    <row r="45" spans="2:5" x14ac:dyDescent="0.3">
      <c r="B45" s="234" t="s">
        <v>9</v>
      </c>
      <c r="C45" s="234"/>
      <c r="D45" s="234"/>
      <c r="E45" s="234"/>
    </row>
    <row r="46" spans="2:5" x14ac:dyDescent="0.3">
      <c r="B46" s="249" t="s">
        <v>126</v>
      </c>
      <c r="C46" s="249"/>
      <c r="D46" s="249"/>
      <c r="E46" s="249"/>
    </row>
    <row r="47" spans="2:5" x14ac:dyDescent="0.3">
      <c r="B47" s="235" t="s">
        <v>127</v>
      </c>
      <c r="C47" s="235"/>
      <c r="D47" s="149">
        <v>30000</v>
      </c>
      <c r="E47" s="149">
        <v>30000</v>
      </c>
    </row>
    <row r="48" spans="2:5" x14ac:dyDescent="0.3">
      <c r="B48" s="235" t="s">
        <v>137</v>
      </c>
      <c r="C48" s="235"/>
      <c r="D48" s="150">
        <v>9</v>
      </c>
      <c r="E48" s="150">
        <v>9</v>
      </c>
    </row>
    <row r="49" spans="2:5" x14ac:dyDescent="0.3">
      <c r="B49" s="248" t="s">
        <v>144</v>
      </c>
      <c r="C49" s="248"/>
      <c r="D49" s="61">
        <f>IF(D22&gt;E15,0,(E15-D22)/(D20))</f>
        <v>0</v>
      </c>
      <c r="E49" s="71"/>
    </row>
    <row r="50" spans="2:5" x14ac:dyDescent="0.3">
      <c r="B50" s="248" t="s">
        <v>135</v>
      </c>
      <c r="C50" s="248"/>
      <c r="D50" s="61">
        <f>IF(D49&lt;1.5,0,D49-(0.75*(D48/4.5)))</f>
        <v>0</v>
      </c>
      <c r="E50" s="71"/>
    </row>
    <row r="51" spans="2:5" x14ac:dyDescent="0.3">
      <c r="B51" s="248" t="s">
        <v>134</v>
      </c>
      <c r="C51" s="248"/>
      <c r="D51" s="61">
        <f>IF(D50&lt;0,0,(D50/D48)*100)</f>
        <v>0</v>
      </c>
      <c r="E51" s="71"/>
    </row>
    <row r="52" spans="2:5" x14ac:dyDescent="0.3">
      <c r="B52" s="249" t="s">
        <v>24</v>
      </c>
      <c r="C52" s="249"/>
      <c r="D52" s="249"/>
      <c r="E52" s="249"/>
    </row>
    <row r="53" spans="2:5" x14ac:dyDescent="0.3">
      <c r="B53" s="235" t="s">
        <v>208</v>
      </c>
      <c r="C53" s="235"/>
      <c r="D53" s="153">
        <f>Elpriser!F23</f>
        <v>1.0732638888888888</v>
      </c>
      <c r="E53" s="153">
        <f>'Dataark TCO'!C5+0.5</f>
        <v>11.4</v>
      </c>
    </row>
    <row r="54" spans="2:5" x14ac:dyDescent="0.3">
      <c r="B54" s="235" t="s">
        <v>45</v>
      </c>
      <c r="C54" s="235"/>
      <c r="D54" s="17"/>
      <c r="E54" s="153">
        <v>0.11</v>
      </c>
    </row>
    <row r="55" spans="2:5" x14ac:dyDescent="0.3">
      <c r="B55" s="248" t="s">
        <v>75</v>
      </c>
      <c r="C55" s="248"/>
      <c r="D55" s="47">
        <f>(((E10/12)/100)*D56)*($D$21*D53)</f>
        <v>10464.322916666666</v>
      </c>
      <c r="E55" s="17"/>
    </row>
    <row r="56" spans="2:5" x14ac:dyDescent="0.3">
      <c r="B56" s="235" t="s">
        <v>211</v>
      </c>
      <c r="C56" s="235"/>
      <c r="D56" s="154">
        <v>100</v>
      </c>
      <c r="E56" s="17"/>
    </row>
    <row r="57" spans="2:5" x14ac:dyDescent="0.3">
      <c r="B57" s="235" t="s">
        <v>46</v>
      </c>
      <c r="C57" s="235"/>
      <c r="D57" s="153">
        <v>4.22</v>
      </c>
      <c r="E57" s="17"/>
    </row>
    <row r="58" spans="2:5" x14ac:dyDescent="0.3">
      <c r="B58" s="248" t="s">
        <v>74</v>
      </c>
      <c r="C58" s="248"/>
      <c r="D58" s="47">
        <f>(((E10/12)/100)*(100-D56)*(D20*D57))</f>
        <v>0</v>
      </c>
      <c r="E58" s="17"/>
    </row>
    <row r="59" spans="2:5" x14ac:dyDescent="0.3">
      <c r="B59" s="255" t="s">
        <v>159</v>
      </c>
      <c r="C59" s="255"/>
      <c r="D59" s="47">
        <f>D55+D58</f>
        <v>10464.322916666666</v>
      </c>
      <c r="E59" s="47">
        <f>((E21*E53)*($E$10/12))+($E$10/12)*E54</f>
        <v>25449</v>
      </c>
    </row>
    <row r="60" spans="2:5" x14ac:dyDescent="0.3">
      <c r="B60" s="249" t="s">
        <v>25</v>
      </c>
      <c r="C60" s="249"/>
      <c r="D60" s="249"/>
      <c r="E60" s="249"/>
    </row>
    <row r="61" spans="2:5" x14ac:dyDescent="0.3">
      <c r="B61" s="235" t="s">
        <v>88</v>
      </c>
      <c r="C61" s="235"/>
      <c r="D61" s="149">
        <v>7685</v>
      </c>
      <c r="E61" s="149">
        <v>5000</v>
      </c>
    </row>
    <row r="62" spans="2:5" x14ac:dyDescent="0.3">
      <c r="B62" s="235" t="s">
        <v>89</v>
      </c>
      <c r="C62" s="235"/>
      <c r="D62" s="155">
        <v>1.4999999999999999E-2</v>
      </c>
      <c r="E62" s="155">
        <v>1.4999999999999999E-2</v>
      </c>
    </row>
    <row r="63" spans="2:5" x14ac:dyDescent="0.3">
      <c r="B63" s="235" t="s">
        <v>34</v>
      </c>
      <c r="C63" s="235"/>
      <c r="D63" s="144">
        <v>8</v>
      </c>
      <c r="E63" s="144">
        <v>8</v>
      </c>
    </row>
    <row r="64" spans="2:5" x14ac:dyDescent="0.3">
      <c r="B64" s="248" t="s">
        <v>90</v>
      </c>
      <c r="C64" s="248"/>
      <c r="D64" s="47">
        <f>(D62*D63)*E12</f>
        <v>900</v>
      </c>
      <c r="E64" s="47">
        <f>(E62*E63)*E12</f>
        <v>900</v>
      </c>
    </row>
    <row r="65" spans="2:5" x14ac:dyDescent="0.3">
      <c r="B65" s="235" t="s">
        <v>91</v>
      </c>
      <c r="C65" s="235"/>
      <c r="D65" s="149">
        <v>1476</v>
      </c>
      <c r="E65" s="149">
        <v>768</v>
      </c>
    </row>
    <row r="66" spans="2:5" x14ac:dyDescent="0.3">
      <c r="B66" s="249" t="s">
        <v>175</v>
      </c>
      <c r="C66" s="249"/>
      <c r="D66" s="249"/>
      <c r="E66" s="249"/>
    </row>
    <row r="67" spans="2:5" x14ac:dyDescent="0.3">
      <c r="B67" s="235" t="s">
        <v>240</v>
      </c>
      <c r="C67" s="235"/>
      <c r="D67" s="149">
        <v>29</v>
      </c>
      <c r="E67" s="149">
        <v>29</v>
      </c>
    </row>
    <row r="68" spans="2:5" x14ac:dyDescent="0.3">
      <c r="B68" s="235" t="s">
        <v>242</v>
      </c>
      <c r="C68" s="235"/>
      <c r="D68" s="156">
        <f>Afgifter!C67</f>
        <v>1.4999999999999999E-2</v>
      </c>
      <c r="E68" s="156">
        <f>Afgifter!D67</f>
        <v>1.4999999999999999E-2</v>
      </c>
    </row>
  </sheetData>
  <sheetProtection sheet="1" objects="1" scenarios="1" selectLockedCells="1"/>
  <mergeCells count="63">
    <mergeCell ref="B66:E66"/>
    <mergeCell ref="B67:C67"/>
    <mergeCell ref="B68:C68"/>
    <mergeCell ref="B58:C58"/>
    <mergeCell ref="B64:C64"/>
    <mergeCell ref="B65:C65"/>
    <mergeCell ref="B59:C59"/>
    <mergeCell ref="B60:E60"/>
    <mergeCell ref="B61:C61"/>
    <mergeCell ref="B62:C62"/>
    <mergeCell ref="B63:C63"/>
    <mergeCell ref="B49:C49"/>
    <mergeCell ref="B54:C54"/>
    <mergeCell ref="B55:C55"/>
    <mergeCell ref="B56:C56"/>
    <mergeCell ref="B57:C57"/>
    <mergeCell ref="B50:C50"/>
    <mergeCell ref="B51:C51"/>
    <mergeCell ref="B52:E52"/>
    <mergeCell ref="B53:C53"/>
    <mergeCell ref="B39:E39"/>
    <mergeCell ref="B28:C28"/>
    <mergeCell ref="B42:C42"/>
    <mergeCell ref="B29:C29"/>
    <mergeCell ref="B30:C30"/>
    <mergeCell ref="B31:C31"/>
    <mergeCell ref="B32:C32"/>
    <mergeCell ref="B33:C33"/>
    <mergeCell ref="B34:C34"/>
    <mergeCell ref="B35:C35"/>
    <mergeCell ref="B36:C36"/>
    <mergeCell ref="B47:C47"/>
    <mergeCell ref="B48:C48"/>
    <mergeCell ref="B24:C24"/>
    <mergeCell ref="B18:C18"/>
    <mergeCell ref="B19:C19"/>
    <mergeCell ref="B20:C20"/>
    <mergeCell ref="B21:C21"/>
    <mergeCell ref="B25:E25"/>
    <mergeCell ref="B37:C37"/>
    <mergeCell ref="B43:C43"/>
    <mergeCell ref="B40:C40"/>
    <mergeCell ref="B41:C41"/>
    <mergeCell ref="B45:E45"/>
    <mergeCell ref="B46:E46"/>
    <mergeCell ref="B26:E26"/>
    <mergeCell ref="B38:C38"/>
    <mergeCell ref="B17:E17"/>
    <mergeCell ref="B44:C44"/>
    <mergeCell ref="B2:E2"/>
    <mergeCell ref="B4:E4"/>
    <mergeCell ref="B5:D5"/>
    <mergeCell ref="B6:D6"/>
    <mergeCell ref="B7:D7"/>
    <mergeCell ref="B9:E9"/>
    <mergeCell ref="B10:D10"/>
    <mergeCell ref="B11:D11"/>
    <mergeCell ref="B12:D12"/>
    <mergeCell ref="B13:D13"/>
    <mergeCell ref="B14:D14"/>
    <mergeCell ref="B15:D15"/>
    <mergeCell ref="B22:C22"/>
    <mergeCell ref="B27: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5A94-D14A-4E43-9944-311A36202933}">
  <sheetPr codeName="Sheet8">
    <tabColor rgb="FFFFC000"/>
  </sheetPr>
  <dimension ref="B2:O78"/>
  <sheetViews>
    <sheetView showGridLines="0" zoomScale="70" zoomScaleNormal="70" workbookViewId="0">
      <selection activeCell="M16" sqref="M16"/>
    </sheetView>
  </sheetViews>
  <sheetFormatPr defaultColWidth="8.88671875" defaultRowHeight="14.4" x14ac:dyDescent="0.3"/>
  <cols>
    <col min="1" max="1" width="2.21875" customWidth="1"/>
    <col min="2" max="2" width="31.88671875" bestFit="1" customWidth="1"/>
    <col min="3" max="3" width="12.44140625" bestFit="1" customWidth="1"/>
    <col min="4" max="4" width="13.5546875" bestFit="1" customWidth="1"/>
    <col min="5" max="5" width="20.44140625" bestFit="1" customWidth="1"/>
    <col min="6" max="6" width="15.5546875" bestFit="1" customWidth="1"/>
    <col min="7" max="7" width="9.77734375" bestFit="1" customWidth="1"/>
    <col min="8" max="8" width="9.44140625" bestFit="1" customWidth="1"/>
    <col min="9" max="9" width="20.21875" bestFit="1" customWidth="1"/>
    <col min="10" max="10" width="12.44140625" bestFit="1" customWidth="1"/>
    <col min="11" max="11" width="13.5546875" bestFit="1" customWidth="1"/>
    <col min="12" max="12" width="34.44140625" style="29" bestFit="1" customWidth="1"/>
    <col min="13" max="13" width="15.5546875" style="29" bestFit="1" customWidth="1"/>
    <col min="14" max="14" width="16.88671875" style="29" bestFit="1" customWidth="1"/>
    <col min="15" max="15" width="17.33203125" style="29" bestFit="1" customWidth="1"/>
  </cols>
  <sheetData>
    <row r="2" spans="2:15" ht="23.4" x14ac:dyDescent="0.45">
      <c r="B2" s="274" t="s">
        <v>166</v>
      </c>
      <c r="C2" s="275"/>
      <c r="D2" s="275"/>
      <c r="E2" s="275"/>
      <c r="F2" s="275"/>
      <c r="G2" s="275"/>
      <c r="H2" s="275"/>
      <c r="I2" s="275"/>
      <c r="J2" s="275"/>
      <c r="K2" s="275"/>
      <c r="L2" s="275"/>
      <c r="M2" s="275"/>
      <c r="N2" s="275"/>
      <c r="O2" s="275"/>
    </row>
    <row r="4" spans="2:15" ht="18" x14ac:dyDescent="0.35">
      <c r="B4" s="237" t="s">
        <v>3</v>
      </c>
      <c r="C4" s="237"/>
      <c r="D4" s="237"/>
      <c r="E4" s="237"/>
      <c r="G4" s="234" t="s">
        <v>201</v>
      </c>
      <c r="H4" s="234"/>
      <c r="I4" s="234"/>
      <c r="J4" s="234"/>
      <c r="L4" s="88" t="s">
        <v>165</v>
      </c>
      <c r="M4" s="89"/>
      <c r="N4" s="90"/>
    </row>
    <row r="5" spans="2:15" ht="14.4" customHeight="1" x14ac:dyDescent="0.3">
      <c r="B5" s="276" t="s">
        <v>174</v>
      </c>
      <c r="C5" s="277"/>
      <c r="D5" s="278"/>
      <c r="E5" s="4"/>
      <c r="G5" s="266" t="s">
        <v>202</v>
      </c>
      <c r="H5" s="266"/>
      <c r="I5" s="266"/>
      <c r="J5" s="266"/>
      <c r="L5" s="28" t="s">
        <v>162</v>
      </c>
      <c r="M5" s="28" t="s">
        <v>163</v>
      </c>
      <c r="N5" s="28" t="s">
        <v>164</v>
      </c>
    </row>
    <row r="6" spans="2:15" x14ac:dyDescent="0.3">
      <c r="B6" s="276" t="s">
        <v>5</v>
      </c>
      <c r="C6" s="277"/>
      <c r="D6" s="278"/>
      <c r="E6" s="8"/>
      <c r="G6" s="266"/>
      <c r="H6" s="266"/>
      <c r="I6" s="266"/>
      <c r="J6" s="266"/>
      <c r="L6" s="20">
        <v>0</v>
      </c>
      <c r="M6" s="142">
        <v>1047</v>
      </c>
      <c r="N6" s="142">
        <v>1748</v>
      </c>
    </row>
    <row r="7" spans="2:15" x14ac:dyDescent="0.3">
      <c r="B7" s="276" t="s">
        <v>167</v>
      </c>
      <c r="C7" s="277"/>
      <c r="D7" s="278"/>
      <c r="E7" s="5"/>
      <c r="G7" s="266"/>
      <c r="H7" s="266"/>
      <c r="I7" s="266"/>
      <c r="J7" s="266"/>
      <c r="L7" s="20">
        <v>1</v>
      </c>
      <c r="M7" s="142">
        <v>907</v>
      </c>
      <c r="N7" s="142">
        <v>1518</v>
      </c>
    </row>
    <row r="8" spans="2:15" x14ac:dyDescent="0.3">
      <c r="G8" s="266"/>
      <c r="H8" s="266"/>
      <c r="I8" s="266"/>
      <c r="J8" s="266"/>
      <c r="L8" s="20">
        <v>2</v>
      </c>
      <c r="M8" s="142">
        <v>788</v>
      </c>
      <c r="N8" s="142">
        <v>1317</v>
      </c>
    </row>
    <row r="9" spans="2:15" x14ac:dyDescent="0.3">
      <c r="B9" s="265" t="s">
        <v>10</v>
      </c>
      <c r="C9" s="265"/>
      <c r="D9" s="265"/>
      <c r="E9" s="69">
        <f>Virksomhedssetup!E10</f>
        <v>90000</v>
      </c>
      <c r="G9" s="266"/>
      <c r="H9" s="266"/>
      <c r="I9" s="266"/>
      <c r="J9" s="266"/>
      <c r="L9" s="20">
        <v>3</v>
      </c>
      <c r="M9" s="142">
        <v>684</v>
      </c>
      <c r="N9" s="142">
        <v>1146</v>
      </c>
    </row>
    <row r="10" spans="2:15" x14ac:dyDescent="0.3">
      <c r="B10" s="265" t="s">
        <v>71</v>
      </c>
      <c r="C10" s="265"/>
      <c r="D10" s="265"/>
      <c r="E10" s="69">
        <f>Virksomhedssetup!E11</f>
        <v>8</v>
      </c>
      <c r="G10" s="266"/>
      <c r="H10" s="266"/>
      <c r="I10" s="266"/>
      <c r="J10" s="266"/>
      <c r="L10" s="20">
        <v>4</v>
      </c>
      <c r="M10" s="142">
        <v>625</v>
      </c>
      <c r="N10" s="142">
        <v>1041</v>
      </c>
    </row>
    <row r="11" spans="2:15" x14ac:dyDescent="0.3">
      <c r="B11" s="265" t="s">
        <v>128</v>
      </c>
      <c r="C11" s="265"/>
      <c r="D11" s="265"/>
      <c r="E11" s="69">
        <f>Virksomhedssetup!E12</f>
        <v>7500</v>
      </c>
      <c r="G11" s="266"/>
      <c r="H11" s="266"/>
      <c r="I11" s="266"/>
      <c r="J11" s="266"/>
      <c r="L11" s="20">
        <v>5</v>
      </c>
      <c r="M11" s="142">
        <v>587</v>
      </c>
      <c r="N11" s="142">
        <v>982</v>
      </c>
    </row>
    <row r="12" spans="2:15" x14ac:dyDescent="0.3">
      <c r="B12" s="265" t="s">
        <v>129</v>
      </c>
      <c r="C12" s="265"/>
      <c r="D12" s="265"/>
      <c r="E12" s="69">
        <f>Virksomhedssetup!E13</f>
        <v>96</v>
      </c>
      <c r="G12" s="266"/>
      <c r="H12" s="266"/>
      <c r="I12" s="266"/>
      <c r="J12" s="266"/>
      <c r="L12" s="20">
        <v>6</v>
      </c>
      <c r="M12" s="142">
        <v>558</v>
      </c>
      <c r="N12" s="142">
        <v>930</v>
      </c>
    </row>
    <row r="14" spans="2:15" x14ac:dyDescent="0.3">
      <c r="B14" s="20" t="s">
        <v>18</v>
      </c>
      <c r="C14" s="268" t="s">
        <v>248</v>
      </c>
      <c r="D14" s="269"/>
      <c r="E14" s="270"/>
      <c r="F14" s="28" t="s">
        <v>181</v>
      </c>
      <c r="G14" s="267" t="s">
        <v>247</v>
      </c>
      <c r="H14" s="267"/>
      <c r="I14" s="267"/>
      <c r="J14" s="267"/>
      <c r="L14" s="28" t="s">
        <v>19</v>
      </c>
      <c r="M14" s="28" t="s">
        <v>0</v>
      </c>
      <c r="N14" s="28" t="s">
        <v>7</v>
      </c>
    </row>
    <row r="15" spans="2:15" x14ac:dyDescent="0.3">
      <c r="B15" s="3"/>
      <c r="L15" s="72">
        <v>2024</v>
      </c>
      <c r="M15" s="73"/>
      <c r="N15" s="73"/>
    </row>
    <row r="16" spans="2:15" x14ac:dyDescent="0.3">
      <c r="B16" s="244" t="s">
        <v>102</v>
      </c>
      <c r="C16" s="245"/>
      <c r="D16" s="245"/>
      <c r="E16" s="245"/>
      <c r="F16" s="245"/>
      <c r="G16" s="245"/>
      <c r="H16" s="245"/>
      <c r="I16" s="245"/>
      <c r="J16" s="246"/>
      <c r="L16" s="8" t="s">
        <v>92</v>
      </c>
      <c r="M16" s="149">
        <f>M12</f>
        <v>558</v>
      </c>
      <c r="N16" s="149">
        <f>M12</f>
        <v>558</v>
      </c>
    </row>
    <row r="17" spans="2:14" ht="16.2" x14ac:dyDescent="0.3">
      <c r="B17" s="56"/>
      <c r="C17" s="244" t="s">
        <v>104</v>
      </c>
      <c r="D17" s="246"/>
      <c r="E17" s="244" t="s">
        <v>110</v>
      </c>
      <c r="F17" s="246"/>
      <c r="G17" s="244" t="s">
        <v>111</v>
      </c>
      <c r="H17" s="246"/>
      <c r="I17" s="244" t="s">
        <v>112</v>
      </c>
      <c r="J17" s="246"/>
      <c r="L17" s="9" t="s">
        <v>184</v>
      </c>
      <c r="M17" s="19">
        <f>M16</f>
        <v>558</v>
      </c>
      <c r="N17" s="19">
        <f>N16</f>
        <v>558</v>
      </c>
    </row>
    <row r="18" spans="2:14" ht="16.2" x14ac:dyDescent="0.3">
      <c r="B18" s="57"/>
      <c r="C18" s="28" t="s">
        <v>103</v>
      </c>
      <c r="D18" s="28" t="s">
        <v>95</v>
      </c>
      <c r="E18" s="28" t="s">
        <v>103</v>
      </c>
      <c r="F18" s="28" t="s">
        <v>95</v>
      </c>
      <c r="G18" s="28" t="s">
        <v>103</v>
      </c>
      <c r="H18" s="28" t="s">
        <v>95</v>
      </c>
      <c r="I18" s="28" t="s">
        <v>103</v>
      </c>
      <c r="J18" s="28" t="s">
        <v>95</v>
      </c>
      <c r="L18" s="9" t="s">
        <v>185</v>
      </c>
      <c r="M18" s="19">
        <f>M17*12</f>
        <v>6696</v>
      </c>
      <c r="N18" s="19">
        <f>N17*12</f>
        <v>6696</v>
      </c>
    </row>
    <row r="19" spans="2:14" ht="17.25" customHeight="1" x14ac:dyDescent="0.35">
      <c r="B19" s="20" t="s">
        <v>105</v>
      </c>
      <c r="C19" s="65">
        <v>0</v>
      </c>
      <c r="D19" s="65">
        <v>0</v>
      </c>
      <c r="E19" s="109">
        <v>0.86</v>
      </c>
      <c r="F19" s="109">
        <v>1.29</v>
      </c>
      <c r="G19" s="109">
        <v>1</v>
      </c>
      <c r="H19" s="109">
        <v>1.5</v>
      </c>
      <c r="I19" s="109">
        <v>1.1000000000000001</v>
      </c>
      <c r="J19" s="109">
        <v>1.65</v>
      </c>
      <c r="L19" s="9" t="s">
        <v>186</v>
      </c>
      <c r="M19" s="19">
        <f>M18*$E$10</f>
        <v>53568</v>
      </c>
      <c r="N19" s="19">
        <f>N18*$E$10</f>
        <v>53568</v>
      </c>
    </row>
    <row r="20" spans="2:14" ht="17.25" customHeight="1" x14ac:dyDescent="0.35">
      <c r="B20" s="20" t="s">
        <v>106</v>
      </c>
      <c r="C20" s="65">
        <v>0</v>
      </c>
      <c r="D20" s="65">
        <v>0</v>
      </c>
      <c r="E20" s="109">
        <v>0.79</v>
      </c>
      <c r="F20" s="109">
        <v>1.19</v>
      </c>
      <c r="G20" s="109">
        <v>0.92</v>
      </c>
      <c r="H20" s="109">
        <v>1.38</v>
      </c>
      <c r="I20" s="109">
        <v>1.01</v>
      </c>
      <c r="J20" s="109">
        <v>1.52</v>
      </c>
      <c r="L20" s="72">
        <v>2025</v>
      </c>
      <c r="M20" s="73"/>
      <c r="N20" s="73"/>
    </row>
    <row r="21" spans="2:14" ht="17.25" customHeight="1" x14ac:dyDescent="0.35">
      <c r="B21" s="20" t="s">
        <v>107</v>
      </c>
      <c r="C21" s="65">
        <v>0</v>
      </c>
      <c r="D21" s="65">
        <v>0</v>
      </c>
      <c r="E21" s="109">
        <v>0.69</v>
      </c>
      <c r="F21" s="109">
        <v>1.04</v>
      </c>
      <c r="G21" s="109">
        <v>0.82</v>
      </c>
      <c r="H21" s="109">
        <v>1.23</v>
      </c>
      <c r="I21" s="109">
        <v>0.91</v>
      </c>
      <c r="J21" s="109">
        <v>1.37</v>
      </c>
      <c r="L21" s="5" t="s">
        <v>182</v>
      </c>
      <c r="M21" s="45">
        <f>G46</f>
        <v>0.1008</v>
      </c>
      <c r="N21" s="45">
        <f>N46</f>
        <v>0.85250000000000004</v>
      </c>
    </row>
    <row r="22" spans="2:14" ht="15" x14ac:dyDescent="0.35">
      <c r="B22" s="20" t="s">
        <v>108</v>
      </c>
      <c r="C22" s="65">
        <v>0</v>
      </c>
      <c r="D22" s="65">
        <v>0</v>
      </c>
      <c r="E22" s="109">
        <v>0.46</v>
      </c>
      <c r="F22" s="109">
        <v>0.69</v>
      </c>
      <c r="G22" s="109">
        <v>0.53</v>
      </c>
      <c r="H22" s="109">
        <v>0.8</v>
      </c>
      <c r="I22" s="109">
        <v>0.57999999999999996</v>
      </c>
      <c r="J22" s="109">
        <v>0.87</v>
      </c>
      <c r="L22" s="5" t="s">
        <v>183</v>
      </c>
      <c r="M22" s="45">
        <f>M21*$E$11</f>
        <v>756</v>
      </c>
      <c r="N22" s="45">
        <f>N21*$E$11</f>
        <v>6393.75</v>
      </c>
    </row>
    <row r="23" spans="2:14" ht="15" x14ac:dyDescent="0.35">
      <c r="B23" s="20" t="s">
        <v>109</v>
      </c>
      <c r="C23" s="65">
        <v>0</v>
      </c>
      <c r="D23" s="65">
        <v>0</v>
      </c>
      <c r="E23" s="109">
        <v>0.13</v>
      </c>
      <c r="F23" s="109">
        <v>0.2</v>
      </c>
      <c r="G23" s="109">
        <v>0.13</v>
      </c>
      <c r="H23" s="109">
        <v>0.2</v>
      </c>
      <c r="I23" s="109">
        <v>0.13</v>
      </c>
      <c r="J23" s="109">
        <v>0.2</v>
      </c>
      <c r="L23" s="72">
        <v>2026</v>
      </c>
      <c r="M23" s="73"/>
      <c r="N23" s="73"/>
    </row>
    <row r="24" spans="2:14" x14ac:dyDescent="0.3">
      <c r="L24" s="5" t="s">
        <v>182</v>
      </c>
      <c r="M24" s="45">
        <f>G46</f>
        <v>0.1008</v>
      </c>
      <c r="N24" s="45">
        <f>N46</f>
        <v>0.85250000000000004</v>
      </c>
    </row>
    <row r="25" spans="2:14" x14ac:dyDescent="0.3">
      <c r="B25" s="244" t="s">
        <v>203</v>
      </c>
      <c r="C25" s="245"/>
      <c r="D25" s="245"/>
      <c r="E25" s="245"/>
      <c r="F25" s="245"/>
      <c r="G25" s="245"/>
      <c r="H25" s="245"/>
      <c r="I25" s="245"/>
      <c r="J25" s="246"/>
      <c r="L25" s="5" t="s">
        <v>183</v>
      </c>
      <c r="M25" s="45">
        <f>M24*$E$11</f>
        <v>756</v>
      </c>
      <c r="N25" s="45">
        <f>N24*$E$11</f>
        <v>6393.75</v>
      </c>
    </row>
    <row r="26" spans="2:14" x14ac:dyDescent="0.3">
      <c r="B26" s="56"/>
      <c r="C26" s="244" t="s">
        <v>104</v>
      </c>
      <c r="D26" s="246"/>
      <c r="E26" s="244" t="s">
        <v>110</v>
      </c>
      <c r="F26" s="246"/>
      <c r="G26" s="244" t="s">
        <v>111</v>
      </c>
      <c r="H26" s="246"/>
      <c r="I26" s="244" t="s">
        <v>112</v>
      </c>
      <c r="J26" s="246"/>
      <c r="L26" s="72">
        <v>2027</v>
      </c>
      <c r="M26" s="73"/>
      <c r="N26" s="73"/>
    </row>
    <row r="27" spans="2:14" x14ac:dyDescent="0.3">
      <c r="B27" s="57"/>
      <c r="C27" s="28" t="s">
        <v>103</v>
      </c>
      <c r="D27" s="28" t="s">
        <v>95</v>
      </c>
      <c r="E27" s="28" t="s">
        <v>103</v>
      </c>
      <c r="F27" s="28" t="s">
        <v>95</v>
      </c>
      <c r="G27" s="28" t="s">
        <v>103</v>
      </c>
      <c r="H27" s="28" t="s">
        <v>95</v>
      </c>
      <c r="I27" s="28" t="s">
        <v>103</v>
      </c>
      <c r="J27" s="28" t="s">
        <v>95</v>
      </c>
      <c r="L27" s="5" t="s">
        <v>182</v>
      </c>
      <c r="M27" s="45">
        <f>G46</f>
        <v>0.1008</v>
      </c>
      <c r="N27" s="45">
        <f>N46</f>
        <v>0.85250000000000004</v>
      </c>
    </row>
    <row r="28" spans="2:14" ht="17.25" customHeight="1" x14ac:dyDescent="0.35">
      <c r="B28" s="20" t="s">
        <v>105</v>
      </c>
      <c r="C28" s="65">
        <v>0</v>
      </c>
      <c r="D28" s="65">
        <v>0</v>
      </c>
      <c r="E28" s="109">
        <v>1.1396662596662597</v>
      </c>
      <c r="F28" s="109">
        <v>1.7209368191721133</v>
      </c>
      <c r="G28" s="109">
        <v>1.2994432340837569</v>
      </c>
      <c r="H28" s="109">
        <v>1.9619883040935673</v>
      </c>
      <c r="I28" s="109">
        <v>1.4253029788197986</v>
      </c>
      <c r="J28" s="109">
        <v>2.1314363143631434</v>
      </c>
      <c r="L28" s="5" t="s">
        <v>183</v>
      </c>
      <c r="M28" s="45">
        <f>M27*$E$11</f>
        <v>756</v>
      </c>
      <c r="N28" s="45">
        <f>N27*$E$11</f>
        <v>6393.75</v>
      </c>
    </row>
    <row r="29" spans="2:14" ht="17.25" customHeight="1" x14ac:dyDescent="0.35">
      <c r="B29" s="20" t="s">
        <v>106</v>
      </c>
      <c r="C29" s="65">
        <v>0</v>
      </c>
      <c r="D29" s="65">
        <v>0</v>
      </c>
      <c r="E29" s="109">
        <v>1.0489986282578876</v>
      </c>
      <c r="F29" s="109">
        <v>1.5683626796195103</v>
      </c>
      <c r="G29" s="109">
        <v>1.1972106905440238</v>
      </c>
      <c r="H29" s="109">
        <v>1.7837902135712351</v>
      </c>
      <c r="I29" s="109">
        <v>1.2857064471879285</v>
      </c>
      <c r="J29" s="109">
        <v>1.9414614614614614</v>
      </c>
      <c r="L29" s="72">
        <v>2028</v>
      </c>
      <c r="M29" s="73"/>
      <c r="N29" s="73"/>
    </row>
    <row r="30" spans="2:14" ht="15" x14ac:dyDescent="0.35">
      <c r="B30" s="20" t="s">
        <v>107</v>
      </c>
      <c r="C30" s="65">
        <v>0</v>
      </c>
      <c r="D30" s="65">
        <v>0</v>
      </c>
      <c r="E30" s="109">
        <v>0.89744392279603546</v>
      </c>
      <c r="F30" s="109">
        <v>1.364379221989285</v>
      </c>
      <c r="G30" s="109">
        <v>1.0579012345679011</v>
      </c>
      <c r="H30" s="109">
        <v>1.568215488215488</v>
      </c>
      <c r="I30" s="109">
        <v>1.145925925925926</v>
      </c>
      <c r="J30" s="109">
        <v>1.738354537743851</v>
      </c>
      <c r="L30" s="5" t="s">
        <v>182</v>
      </c>
      <c r="M30" s="45">
        <f>G51</f>
        <v>0.1864137860082305</v>
      </c>
      <c r="N30" s="131">
        <f>N51</f>
        <v>1.4323643121752321</v>
      </c>
    </row>
    <row r="31" spans="2:14" ht="15" x14ac:dyDescent="0.35">
      <c r="B31" s="20" t="s">
        <v>108</v>
      </c>
      <c r="C31" s="65">
        <v>0</v>
      </c>
      <c r="D31" s="65">
        <v>0</v>
      </c>
      <c r="E31" s="109">
        <v>0.61671657473075914</v>
      </c>
      <c r="F31" s="109">
        <v>0.91856025039123645</v>
      </c>
      <c r="G31" s="109">
        <v>0.69530864197530862</v>
      </c>
      <c r="H31" s="109">
        <v>1.0429629629629631</v>
      </c>
      <c r="I31" s="109">
        <v>0.7406714316655838</v>
      </c>
      <c r="J31" s="109">
        <v>1.1100430663221363</v>
      </c>
      <c r="L31" s="5" t="s">
        <v>183</v>
      </c>
      <c r="M31" s="45">
        <f>M30*$E$11</f>
        <v>1398.1033950617286</v>
      </c>
      <c r="N31" s="45">
        <f>N30*$E$11</f>
        <v>10742.73234131424</v>
      </c>
    </row>
    <row r="32" spans="2:14" ht="15" x14ac:dyDescent="0.35">
      <c r="B32" s="20" t="s">
        <v>109</v>
      </c>
      <c r="C32" s="65">
        <v>0</v>
      </c>
      <c r="D32" s="65">
        <v>0</v>
      </c>
      <c r="E32" s="109">
        <v>0.18537037037037041</v>
      </c>
      <c r="F32" s="109">
        <v>0.28971193415637869</v>
      </c>
      <c r="G32" s="109">
        <v>0.18537037037037041</v>
      </c>
      <c r="H32" s="109">
        <v>0.28971193415637869</v>
      </c>
      <c r="I32" s="109">
        <v>0.18537037037037041</v>
      </c>
      <c r="J32" s="109">
        <v>0.28971193415637869</v>
      </c>
      <c r="L32" s="72">
        <v>2029</v>
      </c>
      <c r="M32" s="73"/>
      <c r="N32" s="73"/>
    </row>
    <row r="33" spans="2:14" x14ac:dyDescent="0.3">
      <c r="L33" s="5" t="s">
        <v>182</v>
      </c>
      <c r="M33" s="45">
        <f>G55</f>
        <v>0.26129999999999998</v>
      </c>
      <c r="N33" s="131">
        <f>N55</f>
        <v>1.6181000000000001</v>
      </c>
    </row>
    <row r="34" spans="2:14" x14ac:dyDescent="0.3">
      <c r="B34" s="244" t="s">
        <v>204</v>
      </c>
      <c r="C34" s="245"/>
      <c r="D34" s="245"/>
      <c r="E34" s="245"/>
      <c r="F34" s="245"/>
      <c r="G34" s="245"/>
      <c r="H34" s="245"/>
      <c r="I34" s="245"/>
      <c r="J34" s="246"/>
      <c r="L34" s="5" t="s">
        <v>183</v>
      </c>
      <c r="M34" s="45">
        <f>M33*$E$11</f>
        <v>1959.7499999999998</v>
      </c>
      <c r="N34" s="45">
        <f>N33*$E$11</f>
        <v>12135.75</v>
      </c>
    </row>
    <row r="35" spans="2:14" x14ac:dyDescent="0.3">
      <c r="B35" s="56"/>
      <c r="C35" s="244" t="s">
        <v>104</v>
      </c>
      <c r="D35" s="246"/>
      <c r="E35" s="234" t="s">
        <v>110</v>
      </c>
      <c r="F35" s="234"/>
      <c r="G35" s="234" t="s">
        <v>111</v>
      </c>
      <c r="H35" s="234"/>
      <c r="I35" s="234" t="s">
        <v>112</v>
      </c>
      <c r="J35" s="234"/>
      <c r="L35" s="72" t="s">
        <v>113</v>
      </c>
      <c r="M35" s="73"/>
      <c r="N35" s="73"/>
    </row>
    <row r="36" spans="2:14" x14ac:dyDescent="0.3">
      <c r="B36" s="57"/>
      <c r="C36" s="28" t="s">
        <v>103</v>
      </c>
      <c r="D36" s="28" t="s">
        <v>95</v>
      </c>
      <c r="E36" s="28" t="s">
        <v>103</v>
      </c>
      <c r="F36" s="28" t="s">
        <v>95</v>
      </c>
      <c r="G36" s="28" t="s">
        <v>103</v>
      </c>
      <c r="H36" s="28" t="s">
        <v>95</v>
      </c>
      <c r="I36" s="28" t="s">
        <v>103</v>
      </c>
      <c r="J36" s="28" t="s">
        <v>95</v>
      </c>
      <c r="L36" s="5" t="s">
        <v>182</v>
      </c>
      <c r="M36" s="45">
        <f>G55</f>
        <v>0.26129999999999998</v>
      </c>
      <c r="N36" s="131">
        <f>N55</f>
        <v>1.6181000000000001</v>
      </c>
    </row>
    <row r="37" spans="2:14" ht="15" x14ac:dyDescent="0.35">
      <c r="B37" s="20" t="s">
        <v>105</v>
      </c>
      <c r="C37" s="109">
        <v>1.29</v>
      </c>
      <c r="D37" s="109">
        <v>1.94</v>
      </c>
      <c r="E37" s="109">
        <v>1.38</v>
      </c>
      <c r="F37" s="109">
        <v>2.0699999999999998</v>
      </c>
      <c r="G37" s="109">
        <v>1.51</v>
      </c>
      <c r="H37" s="109">
        <v>2.27</v>
      </c>
      <c r="I37" s="109">
        <v>1.61</v>
      </c>
      <c r="J37" s="109">
        <v>2.42</v>
      </c>
      <c r="L37" s="5" t="s">
        <v>183</v>
      </c>
      <c r="M37" s="45">
        <f>M36*$E$11</f>
        <v>1959.7499999999998</v>
      </c>
      <c r="N37" s="45">
        <f>N36*$E$11</f>
        <v>12135.75</v>
      </c>
    </row>
    <row r="38" spans="2:14" ht="15" x14ac:dyDescent="0.35">
      <c r="B38" s="20" t="s">
        <v>106</v>
      </c>
      <c r="C38" s="109">
        <v>1.1299999999999999</v>
      </c>
      <c r="D38" s="109">
        <v>1.7</v>
      </c>
      <c r="E38" s="109">
        <v>1.22</v>
      </c>
      <c r="F38" s="109">
        <v>1.83</v>
      </c>
      <c r="G38" s="109">
        <v>1.35</v>
      </c>
      <c r="H38" s="109">
        <v>2.02</v>
      </c>
      <c r="I38" s="109">
        <v>1.44</v>
      </c>
      <c r="J38" s="109">
        <v>2.16</v>
      </c>
    </row>
    <row r="39" spans="2:14" ht="15" x14ac:dyDescent="0.35">
      <c r="B39" s="20" t="s">
        <v>107</v>
      </c>
      <c r="C39" s="109">
        <v>0.97</v>
      </c>
      <c r="D39" s="109">
        <v>1.46</v>
      </c>
      <c r="E39" s="109">
        <v>1.06</v>
      </c>
      <c r="F39" s="109">
        <v>1.58</v>
      </c>
      <c r="G39" s="109">
        <v>1.18</v>
      </c>
      <c r="H39" s="109">
        <v>1.76</v>
      </c>
      <c r="I39" s="109">
        <v>1.26</v>
      </c>
      <c r="J39" s="109">
        <v>1.9</v>
      </c>
    </row>
    <row r="40" spans="2:14" ht="15" x14ac:dyDescent="0.35">
      <c r="B40" s="20" t="s">
        <v>108</v>
      </c>
      <c r="C40" s="109">
        <v>0.66</v>
      </c>
      <c r="D40" s="109">
        <v>1</v>
      </c>
      <c r="E40" s="109">
        <v>0.72</v>
      </c>
      <c r="F40" s="109">
        <v>1.07</v>
      </c>
      <c r="G40" s="109">
        <v>0.79</v>
      </c>
      <c r="H40" s="109">
        <v>1.19</v>
      </c>
      <c r="I40" s="109">
        <v>0.84</v>
      </c>
      <c r="J40" s="109">
        <v>1.25</v>
      </c>
    </row>
    <row r="41" spans="2:14" ht="15" x14ac:dyDescent="0.35">
      <c r="B41" s="20" t="s">
        <v>109</v>
      </c>
      <c r="C41" s="109">
        <v>0.26</v>
      </c>
      <c r="D41" s="109">
        <v>0.39</v>
      </c>
      <c r="E41" s="109">
        <v>0.26</v>
      </c>
      <c r="F41" s="109">
        <v>0.39</v>
      </c>
      <c r="G41" s="109">
        <v>0.26</v>
      </c>
      <c r="H41" s="109">
        <v>0.39</v>
      </c>
      <c r="I41" s="109">
        <v>0.26</v>
      </c>
      <c r="J41" s="109">
        <v>0.39</v>
      </c>
    </row>
    <row r="43" spans="2:14" x14ac:dyDescent="0.3">
      <c r="B43" s="271" t="s">
        <v>114</v>
      </c>
      <c r="C43" s="272"/>
      <c r="D43" s="272"/>
      <c r="E43" s="272"/>
      <c r="F43" s="272"/>
      <c r="G43" s="273"/>
      <c r="I43" s="261" t="s">
        <v>15</v>
      </c>
      <c r="J43" s="262"/>
      <c r="K43" s="262"/>
      <c r="L43" s="262"/>
      <c r="M43" s="262"/>
      <c r="N43" s="263"/>
    </row>
    <row r="44" spans="2:14" x14ac:dyDescent="0.3">
      <c r="B44" s="258" t="s">
        <v>124</v>
      </c>
      <c r="C44" s="259"/>
      <c r="D44" s="259"/>
      <c r="E44" s="259"/>
      <c r="F44" s="259"/>
      <c r="G44" s="260"/>
      <c r="I44" s="258" t="s">
        <v>124</v>
      </c>
      <c r="J44" s="259"/>
      <c r="K44" s="259"/>
      <c r="L44" s="259"/>
      <c r="M44" s="259"/>
      <c r="N44" s="260"/>
    </row>
    <row r="45" spans="2:14" ht="17.25" customHeight="1" x14ac:dyDescent="0.3">
      <c r="B45" s="28" t="s">
        <v>94</v>
      </c>
      <c r="C45" s="28" t="s">
        <v>101</v>
      </c>
      <c r="D45" s="28" t="s">
        <v>99</v>
      </c>
      <c r="E45" s="28" t="s">
        <v>100</v>
      </c>
      <c r="F45" s="28" t="s">
        <v>123</v>
      </c>
      <c r="G45" s="28" t="s">
        <v>30</v>
      </c>
      <c r="I45" s="28" t="s">
        <v>94</v>
      </c>
      <c r="J45" s="28" t="s">
        <v>101</v>
      </c>
      <c r="K45" s="28" t="s">
        <v>99</v>
      </c>
      <c r="L45" s="28" t="s">
        <v>100</v>
      </c>
      <c r="M45" s="28" t="s">
        <v>123</v>
      </c>
      <c r="N45" s="28" t="s">
        <v>30</v>
      </c>
    </row>
    <row r="46" spans="2:14" ht="17.25" customHeight="1" x14ac:dyDescent="0.3">
      <c r="B46" s="20" t="s">
        <v>98</v>
      </c>
      <c r="C46" s="146">
        <v>1</v>
      </c>
      <c r="D46" s="48">
        <f>(E9/100)*C46</f>
        <v>900</v>
      </c>
      <c r="E46" s="157">
        <f>J23</f>
        <v>0.2</v>
      </c>
      <c r="F46" s="49">
        <f>D46*E46</f>
        <v>180</v>
      </c>
      <c r="G46" s="256">
        <f>SUM(F46:F48)/$E$9</f>
        <v>0.1008</v>
      </c>
      <c r="I46" s="20" t="s">
        <v>98</v>
      </c>
      <c r="J46" s="146">
        <v>1</v>
      </c>
      <c r="K46" s="48">
        <f>(E9/100)*J46</f>
        <v>900</v>
      </c>
      <c r="L46" s="157">
        <f>J19</f>
        <v>1.65</v>
      </c>
      <c r="M46" s="49">
        <f>K46*L46</f>
        <v>1485</v>
      </c>
      <c r="N46" s="256">
        <f>SUM(M46:M48)/$E$9</f>
        <v>0.85250000000000004</v>
      </c>
    </row>
    <row r="47" spans="2:14" ht="17.25" customHeight="1" x14ac:dyDescent="0.3">
      <c r="B47" s="20" t="s">
        <v>96</v>
      </c>
      <c r="C47" s="146">
        <v>76</v>
      </c>
      <c r="D47" s="48">
        <f>(E9/100)*C47</f>
        <v>68400</v>
      </c>
      <c r="E47" s="157">
        <f>I23</f>
        <v>0.13</v>
      </c>
      <c r="F47" s="49">
        <f>D47*E47</f>
        <v>8892</v>
      </c>
      <c r="G47" s="257"/>
      <c r="I47" s="20" t="s">
        <v>96</v>
      </c>
      <c r="J47" s="146">
        <v>76</v>
      </c>
      <c r="K47" s="48">
        <f>(E9/100)*J47</f>
        <v>68400</v>
      </c>
      <c r="L47" s="157">
        <f>I19</f>
        <v>1.1000000000000001</v>
      </c>
      <c r="M47" s="49">
        <f>K47*L47</f>
        <v>75240</v>
      </c>
      <c r="N47" s="257"/>
    </row>
    <row r="48" spans="2:14" x14ac:dyDescent="0.3">
      <c r="B48" s="20" t="s">
        <v>97</v>
      </c>
      <c r="C48" s="146">
        <v>23</v>
      </c>
      <c r="D48" s="48">
        <f>(E9/100)*C48</f>
        <v>20700</v>
      </c>
      <c r="E48" s="157">
        <v>0</v>
      </c>
      <c r="F48" s="49">
        <f>D48*E48</f>
        <v>0</v>
      </c>
      <c r="G48" s="264"/>
      <c r="I48" s="20" t="s">
        <v>97</v>
      </c>
      <c r="J48" s="146">
        <v>23</v>
      </c>
      <c r="K48" s="48">
        <f>(E9/100)*J48</f>
        <v>20700</v>
      </c>
      <c r="L48" s="157">
        <v>0</v>
      </c>
      <c r="M48" s="49">
        <f>K48*L48</f>
        <v>0</v>
      </c>
      <c r="N48" s="264"/>
    </row>
    <row r="49" spans="2:14" x14ac:dyDescent="0.3">
      <c r="B49" s="258" t="s">
        <v>206</v>
      </c>
      <c r="C49" s="259"/>
      <c r="D49" s="259"/>
      <c r="E49" s="259"/>
      <c r="F49" s="259"/>
      <c r="G49" s="260"/>
      <c r="I49" s="258" t="s">
        <v>125</v>
      </c>
      <c r="J49" s="259"/>
      <c r="K49" s="259"/>
      <c r="L49" s="259"/>
      <c r="M49" s="259"/>
      <c r="N49" s="260"/>
    </row>
    <row r="50" spans="2:14" x14ac:dyDescent="0.3">
      <c r="B50" s="28" t="s">
        <v>94</v>
      </c>
      <c r="C50" s="28" t="s">
        <v>101</v>
      </c>
      <c r="D50" s="28" t="s">
        <v>99</v>
      </c>
      <c r="E50" s="28" t="s">
        <v>100</v>
      </c>
      <c r="F50" s="28" t="s">
        <v>123</v>
      </c>
      <c r="G50" s="28" t="s">
        <v>30</v>
      </c>
      <c r="I50" s="20" t="s">
        <v>94</v>
      </c>
      <c r="J50" s="20" t="s">
        <v>101</v>
      </c>
      <c r="K50" s="20" t="s">
        <v>99</v>
      </c>
      <c r="L50" s="20" t="s">
        <v>100</v>
      </c>
      <c r="M50" s="20" t="s">
        <v>123</v>
      </c>
      <c r="N50" s="20" t="s">
        <v>30</v>
      </c>
    </row>
    <row r="51" spans="2:14" ht="17.25" customHeight="1" x14ac:dyDescent="0.3">
      <c r="B51" s="20" t="s">
        <v>98</v>
      </c>
      <c r="C51" s="146">
        <v>1</v>
      </c>
      <c r="D51" s="48">
        <f>(E9/100)*C51</f>
        <v>900</v>
      </c>
      <c r="E51" s="157">
        <f>J32</f>
        <v>0.28971193415637869</v>
      </c>
      <c r="F51" s="49">
        <f>D51*E51</f>
        <v>260.74074074074082</v>
      </c>
      <c r="G51" s="256">
        <f>SUM(F51:F52)/$E$9</f>
        <v>0.1864137860082305</v>
      </c>
      <c r="I51" s="20" t="s">
        <v>98</v>
      </c>
      <c r="J51" s="146">
        <v>1</v>
      </c>
      <c r="K51" s="48">
        <f>(E9/100)*J51</f>
        <v>900</v>
      </c>
      <c r="L51" s="157">
        <f>J28</f>
        <v>2.1314363143631434</v>
      </c>
      <c r="M51" s="49">
        <f>K51*L51</f>
        <v>1918.292682926829</v>
      </c>
      <c r="N51" s="256">
        <f>SUM(M51:M52)/$E$9</f>
        <v>1.4323643121752321</v>
      </c>
    </row>
    <row r="52" spans="2:14" ht="17.25" customHeight="1" x14ac:dyDescent="0.3">
      <c r="B52" s="20" t="s">
        <v>96</v>
      </c>
      <c r="C52" s="146">
        <v>99</v>
      </c>
      <c r="D52" s="48">
        <f>(E9/100)*C52</f>
        <v>89100</v>
      </c>
      <c r="E52" s="157">
        <f>I32</f>
        <v>0.18537037037037041</v>
      </c>
      <c r="F52" s="49">
        <f>D52*E52</f>
        <v>16516.500000000004</v>
      </c>
      <c r="G52" s="257"/>
      <c r="I52" s="20" t="s">
        <v>96</v>
      </c>
      <c r="J52" s="146">
        <v>99</v>
      </c>
      <c r="K52" s="48">
        <f>(E9/100)*J52</f>
        <v>89100</v>
      </c>
      <c r="L52" s="157">
        <f>I28</f>
        <v>1.4253029788197986</v>
      </c>
      <c r="M52" s="49">
        <f>K52*L52</f>
        <v>126994.49541284406</v>
      </c>
      <c r="N52" s="257"/>
    </row>
    <row r="53" spans="2:14" ht="15" customHeight="1" x14ac:dyDescent="0.3">
      <c r="B53" s="258" t="s">
        <v>205</v>
      </c>
      <c r="C53" s="259"/>
      <c r="D53" s="259"/>
      <c r="E53" s="259"/>
      <c r="F53" s="259"/>
      <c r="G53" s="260"/>
      <c r="I53" s="258" t="s">
        <v>125</v>
      </c>
      <c r="J53" s="259"/>
      <c r="K53" s="259"/>
      <c r="L53" s="259"/>
      <c r="M53" s="259"/>
      <c r="N53" s="260"/>
    </row>
    <row r="54" spans="2:14" ht="15" customHeight="1" x14ac:dyDescent="0.3">
      <c r="B54" s="28" t="s">
        <v>94</v>
      </c>
      <c r="C54" s="28" t="s">
        <v>101</v>
      </c>
      <c r="D54" s="28" t="s">
        <v>99</v>
      </c>
      <c r="E54" s="28" t="s">
        <v>100</v>
      </c>
      <c r="F54" s="28" t="s">
        <v>123</v>
      </c>
      <c r="G54" s="28" t="s">
        <v>30</v>
      </c>
      <c r="I54" s="20" t="s">
        <v>94</v>
      </c>
      <c r="J54" s="20" t="s">
        <v>101</v>
      </c>
      <c r="K54" s="20" t="s">
        <v>99</v>
      </c>
      <c r="L54" s="20" t="s">
        <v>100</v>
      </c>
      <c r="M54" s="20" t="s">
        <v>123</v>
      </c>
      <c r="N54" s="20" t="s">
        <v>30</v>
      </c>
    </row>
    <row r="55" spans="2:14" ht="15" customHeight="1" x14ac:dyDescent="0.3">
      <c r="B55" s="20" t="s">
        <v>98</v>
      </c>
      <c r="C55" s="146">
        <v>1</v>
      </c>
      <c r="D55" s="48">
        <f>(E9/100)*C55</f>
        <v>900</v>
      </c>
      <c r="E55" s="157">
        <f>J41</f>
        <v>0.39</v>
      </c>
      <c r="F55" s="49">
        <f>D55*E55</f>
        <v>351</v>
      </c>
      <c r="G55" s="256">
        <f>SUM(F55:F56)/$E$9</f>
        <v>0.26129999999999998</v>
      </c>
      <c r="I55" s="20" t="s">
        <v>98</v>
      </c>
      <c r="J55" s="146">
        <v>1</v>
      </c>
      <c r="K55" s="48">
        <f>(E9/100)*J55</f>
        <v>900</v>
      </c>
      <c r="L55" s="157">
        <f>J37</f>
        <v>2.42</v>
      </c>
      <c r="M55" s="49">
        <f>K55*L55</f>
        <v>2178</v>
      </c>
      <c r="N55" s="256">
        <f>SUM(M55:M56)/$E$9</f>
        <v>1.6181000000000001</v>
      </c>
    </row>
    <row r="56" spans="2:14" ht="15" customHeight="1" x14ac:dyDescent="0.3">
      <c r="B56" s="20" t="s">
        <v>96</v>
      </c>
      <c r="C56" s="146">
        <v>99</v>
      </c>
      <c r="D56" s="48">
        <f>(E9/100)*C56</f>
        <v>89100</v>
      </c>
      <c r="E56" s="157">
        <f>I41</f>
        <v>0.26</v>
      </c>
      <c r="F56" s="49">
        <f>D56*E56</f>
        <v>23166</v>
      </c>
      <c r="G56" s="257"/>
      <c r="I56" s="20" t="s">
        <v>96</v>
      </c>
      <c r="J56" s="146">
        <v>99</v>
      </c>
      <c r="K56" s="48">
        <f>(E9/100)*J56</f>
        <v>89100</v>
      </c>
      <c r="L56" s="157">
        <f>I37</f>
        <v>1.61</v>
      </c>
      <c r="M56" s="49">
        <f>K56*L56</f>
        <v>143451</v>
      </c>
      <c r="N56" s="257"/>
    </row>
    <row r="57" spans="2:14" ht="15" customHeight="1" x14ac:dyDescent="0.3"/>
    <row r="59" spans="2:14" x14ac:dyDescent="0.3">
      <c r="B59" s="244" t="s">
        <v>30</v>
      </c>
      <c r="C59" s="245"/>
      <c r="D59" s="245"/>
      <c r="E59" s="245"/>
      <c r="F59" s="245"/>
      <c r="G59" s="245"/>
      <c r="H59" s="245"/>
      <c r="I59" s="246"/>
    </row>
    <row r="60" spans="2:14" x14ac:dyDescent="0.3">
      <c r="B60" s="1"/>
      <c r="C60" s="20">
        <v>2024</v>
      </c>
      <c r="D60" s="20">
        <v>2025</v>
      </c>
      <c r="E60" s="20">
        <v>2026</v>
      </c>
      <c r="F60" s="20">
        <v>2027</v>
      </c>
      <c r="G60" s="20">
        <v>2028</v>
      </c>
      <c r="H60" s="20">
        <v>2029</v>
      </c>
      <c r="I60" s="20" t="s">
        <v>113</v>
      </c>
    </row>
    <row r="61" spans="2:14" x14ac:dyDescent="0.3">
      <c r="B61" s="20" t="s">
        <v>114</v>
      </c>
      <c r="C61" s="63">
        <f>M16/E9</f>
        <v>6.1999999999999998E-3</v>
      </c>
      <c r="D61" s="63">
        <f>M21</f>
        <v>0.1008</v>
      </c>
      <c r="E61" s="63">
        <f>M24</f>
        <v>0.1008</v>
      </c>
      <c r="F61" s="63">
        <f>M27</f>
        <v>0.1008</v>
      </c>
      <c r="G61" s="63">
        <f>M30</f>
        <v>0.1864137860082305</v>
      </c>
      <c r="H61" s="63">
        <f>M33</f>
        <v>0.26129999999999998</v>
      </c>
      <c r="I61" s="63">
        <f>M36</f>
        <v>0.26129999999999998</v>
      </c>
    </row>
    <row r="62" spans="2:14" x14ac:dyDescent="0.3">
      <c r="B62" s="20" t="s">
        <v>15</v>
      </c>
      <c r="C62" s="63">
        <f>N16/E9</f>
        <v>6.1999999999999998E-3</v>
      </c>
      <c r="D62" s="63">
        <f>N21</f>
        <v>0.85250000000000004</v>
      </c>
      <c r="E62" s="63">
        <f>N24</f>
        <v>0.85250000000000004</v>
      </c>
      <c r="F62" s="63">
        <f>N27</f>
        <v>0.85250000000000004</v>
      </c>
      <c r="G62" s="63">
        <f>N30</f>
        <v>1.4323643121752321</v>
      </c>
      <c r="H62" s="63">
        <f>N33</f>
        <v>1.6181000000000001</v>
      </c>
      <c r="I62" s="63">
        <f>N36</f>
        <v>1.6181000000000001</v>
      </c>
    </row>
    <row r="64" spans="2:14" x14ac:dyDescent="0.3">
      <c r="B64" s="244" t="s">
        <v>243</v>
      </c>
      <c r="C64" s="245"/>
      <c r="D64" s="245"/>
      <c r="E64" s="245"/>
    </row>
    <row r="65" spans="2:9" x14ac:dyDescent="0.3">
      <c r="B65" s="28"/>
      <c r="C65" s="28" t="s">
        <v>14</v>
      </c>
      <c r="D65" s="28" t="s">
        <v>15</v>
      </c>
      <c r="E65" s="28" t="s">
        <v>244</v>
      </c>
    </row>
    <row r="66" spans="2:9" x14ac:dyDescent="0.3">
      <c r="B66" s="8" t="s">
        <v>240</v>
      </c>
      <c r="C66" s="149">
        <v>29</v>
      </c>
      <c r="D66" s="149">
        <v>29</v>
      </c>
      <c r="E66" s="138" t="s">
        <v>245</v>
      </c>
    </row>
    <row r="67" spans="2:9" x14ac:dyDescent="0.3">
      <c r="B67" s="8" t="s">
        <v>242</v>
      </c>
      <c r="C67" s="156">
        <v>1.4999999999999999E-2</v>
      </c>
      <c r="D67" s="156">
        <v>1.4999999999999999E-2</v>
      </c>
      <c r="E67" s="139" t="s">
        <v>246</v>
      </c>
    </row>
    <row r="68" spans="2:9" x14ac:dyDescent="0.3">
      <c r="B68" s="5" t="s">
        <v>241</v>
      </c>
      <c r="C68" s="45">
        <f>'2025'!C81</f>
        <v>1281.7772945459847</v>
      </c>
      <c r="D68" s="45">
        <f>'2025'!D81</f>
        <v>1117.7042311384607</v>
      </c>
      <c r="E68" s="28"/>
    </row>
    <row r="69" spans="2:9" x14ac:dyDescent="0.3">
      <c r="B69" s="89"/>
      <c r="C69" s="89"/>
      <c r="D69" s="89"/>
      <c r="E69" s="89"/>
    </row>
    <row r="70" spans="2:9" x14ac:dyDescent="0.3">
      <c r="B70" s="234" t="s">
        <v>243</v>
      </c>
      <c r="C70" s="234"/>
      <c r="D70" s="234"/>
      <c r="E70" s="234"/>
      <c r="F70" s="234"/>
      <c r="G70" s="234"/>
      <c r="H70" s="234"/>
      <c r="I70" s="234"/>
    </row>
    <row r="71" spans="2:9" x14ac:dyDescent="0.3">
      <c r="B71" s="1"/>
      <c r="C71" s="20">
        <v>2024</v>
      </c>
      <c r="D71" s="20">
        <v>2025</v>
      </c>
      <c r="E71" s="20">
        <v>2026</v>
      </c>
      <c r="F71" s="20">
        <v>2027</v>
      </c>
      <c r="G71" s="20">
        <v>2028</v>
      </c>
      <c r="H71" s="20">
        <v>2029</v>
      </c>
      <c r="I71" s="20" t="s">
        <v>113</v>
      </c>
    </row>
    <row r="72" spans="2:9" x14ac:dyDescent="0.3">
      <c r="B72" s="20" t="s">
        <v>114</v>
      </c>
      <c r="C72" s="63">
        <f>($C$68)/$E$11</f>
        <v>0.17090363927279795</v>
      </c>
      <c r="D72" s="63">
        <f>(($C$68+$C$66)*12)/$E$9</f>
        <v>0.17477030593946463</v>
      </c>
      <c r="E72" s="63">
        <f t="shared" ref="E72:I72" si="0">(($C$68+$C$66)*12)/$E$9</f>
        <v>0.17477030593946463</v>
      </c>
      <c r="F72" s="63">
        <f t="shared" si="0"/>
        <v>0.17477030593946463</v>
      </c>
      <c r="G72" s="63">
        <f t="shared" si="0"/>
        <v>0.17477030593946463</v>
      </c>
      <c r="H72" s="63">
        <f t="shared" si="0"/>
        <v>0.17477030593946463</v>
      </c>
      <c r="I72" s="63">
        <f t="shared" si="0"/>
        <v>0.17477030593946463</v>
      </c>
    </row>
    <row r="73" spans="2:9" x14ac:dyDescent="0.3">
      <c r="B73" s="20" t="s">
        <v>15</v>
      </c>
      <c r="C73" s="63">
        <f>($D$68)/$E$11</f>
        <v>0.14902723081846142</v>
      </c>
      <c r="D73" s="63">
        <f>(($D$68+$D$66)*12)/$E$9</f>
        <v>0.15289389748512811</v>
      </c>
      <c r="E73" s="63">
        <f t="shared" ref="E73:I73" si="1">(($D$68+$D$66)*12)/$E$9</f>
        <v>0.15289389748512811</v>
      </c>
      <c r="F73" s="63">
        <f t="shared" si="1"/>
        <v>0.15289389748512811</v>
      </c>
      <c r="G73" s="63">
        <f t="shared" si="1"/>
        <v>0.15289389748512811</v>
      </c>
      <c r="H73" s="63">
        <f t="shared" si="1"/>
        <v>0.15289389748512811</v>
      </c>
      <c r="I73" s="63">
        <f t="shared" si="1"/>
        <v>0.15289389748512811</v>
      </c>
    </row>
    <row r="75" spans="2:9" x14ac:dyDescent="0.3">
      <c r="B75" s="244" t="s">
        <v>30</v>
      </c>
      <c r="C75" s="245"/>
      <c r="D75" s="245"/>
      <c r="E75" s="245"/>
      <c r="F75" s="245"/>
      <c r="G75" s="245"/>
      <c r="H75" s="245"/>
      <c r="I75" s="246"/>
    </row>
    <row r="76" spans="2:9" x14ac:dyDescent="0.3">
      <c r="B76" s="1"/>
      <c r="C76" s="28">
        <v>2024</v>
      </c>
      <c r="D76" s="28">
        <v>2025</v>
      </c>
      <c r="E76" s="28">
        <v>2026</v>
      </c>
      <c r="F76" s="28">
        <v>2027</v>
      </c>
      <c r="G76" s="28">
        <v>2028</v>
      </c>
      <c r="H76" s="28">
        <v>2029</v>
      </c>
      <c r="I76" s="28" t="s">
        <v>113</v>
      </c>
    </row>
    <row r="77" spans="2:9" x14ac:dyDescent="0.3">
      <c r="B77" s="20" t="s">
        <v>114</v>
      </c>
      <c r="C77" s="66">
        <f>C61+C72</f>
        <v>0.17710363927279796</v>
      </c>
      <c r="D77" s="66">
        <f>D61+D72</f>
        <v>0.27557030593946463</v>
      </c>
      <c r="E77" s="66">
        <f>E61+E72</f>
        <v>0.27557030593946463</v>
      </c>
      <c r="F77" s="66">
        <f t="shared" ref="F77:I77" si="2">F61+F72</f>
        <v>0.27557030593946463</v>
      </c>
      <c r="G77" s="66">
        <f t="shared" si="2"/>
        <v>0.36118409194769513</v>
      </c>
      <c r="H77" s="66">
        <f t="shared" si="2"/>
        <v>0.43607030593946461</v>
      </c>
      <c r="I77" s="66">
        <f t="shared" si="2"/>
        <v>0.43607030593946461</v>
      </c>
    </row>
    <row r="78" spans="2:9" x14ac:dyDescent="0.3">
      <c r="B78" s="20" t="s">
        <v>15</v>
      </c>
      <c r="C78" s="66">
        <f>C62+C73</f>
        <v>0.15522723081846143</v>
      </c>
      <c r="D78" s="66">
        <f t="shared" ref="D78:I78" si="3">D62+D73</f>
        <v>1.0053938974851282</v>
      </c>
      <c r="E78" s="66">
        <f t="shared" si="3"/>
        <v>1.0053938974851282</v>
      </c>
      <c r="F78" s="66">
        <f t="shared" si="3"/>
        <v>1.0053938974851282</v>
      </c>
      <c r="G78" s="66">
        <f t="shared" si="3"/>
        <v>1.5852582096603602</v>
      </c>
      <c r="H78" s="66">
        <f t="shared" si="3"/>
        <v>1.7709938974851283</v>
      </c>
      <c r="I78" s="66">
        <f t="shared" si="3"/>
        <v>1.7709938974851283</v>
      </c>
    </row>
  </sheetData>
  <sheetProtection sheet="1" objects="1" scenarios="1" selectLockedCells="1"/>
  <mergeCells count="46">
    <mergeCell ref="B70:I70"/>
    <mergeCell ref="I26:J26"/>
    <mergeCell ref="B34:J34"/>
    <mergeCell ref="C35:D35"/>
    <mergeCell ref="E35:F35"/>
    <mergeCell ref="G35:H35"/>
    <mergeCell ref="C17:D17"/>
    <mergeCell ref="C26:D26"/>
    <mergeCell ref="E26:F26"/>
    <mergeCell ref="G26:H26"/>
    <mergeCell ref="B64:E64"/>
    <mergeCell ref="B2:O2"/>
    <mergeCell ref="B5:D5"/>
    <mergeCell ref="B6:D6"/>
    <mergeCell ref="B7:D7"/>
    <mergeCell ref="B4:E4"/>
    <mergeCell ref="G4:J4"/>
    <mergeCell ref="B9:D9"/>
    <mergeCell ref="B10:D10"/>
    <mergeCell ref="B11:D11"/>
    <mergeCell ref="B12:D12"/>
    <mergeCell ref="B75:I75"/>
    <mergeCell ref="G5:J12"/>
    <mergeCell ref="B16:J16"/>
    <mergeCell ref="B25:J25"/>
    <mergeCell ref="B59:I59"/>
    <mergeCell ref="I17:J17"/>
    <mergeCell ref="G17:H17"/>
    <mergeCell ref="G14:J14"/>
    <mergeCell ref="C14:E14"/>
    <mergeCell ref="B43:G43"/>
    <mergeCell ref="B44:G44"/>
    <mergeCell ref="E17:F17"/>
    <mergeCell ref="N51:N52"/>
    <mergeCell ref="B49:G49"/>
    <mergeCell ref="I35:J35"/>
    <mergeCell ref="B53:G53"/>
    <mergeCell ref="G55:G56"/>
    <mergeCell ref="I53:N53"/>
    <mergeCell ref="N55:N56"/>
    <mergeCell ref="I43:N43"/>
    <mergeCell ref="I44:N44"/>
    <mergeCell ref="I49:N49"/>
    <mergeCell ref="G51:G52"/>
    <mergeCell ref="N46:N48"/>
    <mergeCell ref="G46:G48"/>
  </mergeCells>
  <hyperlinks>
    <hyperlink ref="E66" r:id="rId1" display="https://brobizz.com/erhverv/produkter/brobizz-vejafgift-boks/" xr:uid="{74952155-EEE0-4EB8-BCD6-51A33770E578}"/>
    <hyperlink ref="G14" r:id="rId2" xr:uid="{01FAC721-FA3B-4FE2-81C0-D17619660A66}"/>
    <hyperlink ref="C14" r:id="rId3" xr:uid="{8F6B6068-689F-47C9-A6BD-B289D8410F85}"/>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894F6-6FBD-4179-BE95-657AE9106FF1}">
  <sheetPr codeName="Sheet5"/>
  <dimension ref="A1:AE131"/>
  <sheetViews>
    <sheetView showGridLines="0" zoomScale="85" zoomScaleNormal="85" workbookViewId="0">
      <selection activeCell="B114" sqref="B114"/>
    </sheetView>
  </sheetViews>
  <sheetFormatPr defaultColWidth="8.88671875" defaultRowHeight="14.4" x14ac:dyDescent="0.3"/>
  <cols>
    <col min="1" max="1" width="52.88671875" bestFit="1" customWidth="1"/>
    <col min="2" max="3" width="13.88671875" bestFit="1" customWidth="1"/>
    <col min="4" max="4" width="12.109375" customWidth="1"/>
    <col min="5" max="5" width="27.44140625" bestFit="1" customWidth="1"/>
    <col min="6" max="6" width="19.109375" bestFit="1" customWidth="1"/>
    <col min="7" max="7" width="7.88671875" bestFit="1" customWidth="1"/>
    <col min="8" max="8" width="34.6640625" bestFit="1" customWidth="1"/>
    <col min="9" max="9" width="17.5546875" bestFit="1" customWidth="1"/>
    <col min="10" max="23" width="8.88671875" style="29"/>
  </cols>
  <sheetData>
    <row r="1" spans="1:8" ht="25.8" x14ac:dyDescent="0.5">
      <c r="A1" s="279" t="s">
        <v>93</v>
      </c>
      <c r="B1" s="280"/>
      <c r="C1" s="281"/>
      <c r="D1" s="6"/>
      <c r="E1" s="237" t="s">
        <v>6</v>
      </c>
      <c r="F1" s="237"/>
      <c r="G1" s="237"/>
      <c r="H1" s="237"/>
    </row>
    <row r="2" spans="1:8" x14ac:dyDescent="0.3">
      <c r="E2" s="282" t="s">
        <v>176</v>
      </c>
      <c r="F2" s="282"/>
      <c r="G2" s="282"/>
      <c r="H2" s="282"/>
    </row>
    <row r="3" spans="1:8" ht="18" x14ac:dyDescent="0.35">
      <c r="A3" s="283" t="s">
        <v>3</v>
      </c>
      <c r="B3" s="284"/>
      <c r="C3" s="285"/>
    </row>
    <row r="4" spans="1:8" x14ac:dyDescent="0.3">
      <c r="A4" s="276" t="s">
        <v>68</v>
      </c>
      <c r="B4" s="278"/>
      <c r="C4" s="2"/>
      <c r="E4" s="234" t="s">
        <v>80</v>
      </c>
      <c r="F4" s="234"/>
      <c r="G4" s="234"/>
      <c r="H4" s="234"/>
    </row>
    <row r="5" spans="1:8" x14ac:dyDescent="0.3">
      <c r="A5" s="276" t="s">
        <v>4</v>
      </c>
      <c r="B5" s="278"/>
      <c r="C5" s="4"/>
      <c r="E5" s="234" t="s">
        <v>19</v>
      </c>
      <c r="F5" s="234"/>
      <c r="G5" s="234"/>
      <c r="H5" s="28" t="s">
        <v>81</v>
      </c>
    </row>
    <row r="6" spans="1:8" x14ac:dyDescent="0.3">
      <c r="A6" s="276" t="s">
        <v>5</v>
      </c>
      <c r="B6" s="278"/>
      <c r="C6" s="8"/>
      <c r="D6" s="3"/>
      <c r="E6" s="286" t="s">
        <v>87</v>
      </c>
      <c r="F6" s="286"/>
      <c r="G6" s="286"/>
      <c r="H6" s="286"/>
    </row>
    <row r="7" spans="1:8" x14ac:dyDescent="0.3">
      <c r="A7" s="276" t="s">
        <v>23</v>
      </c>
      <c r="B7" s="278"/>
      <c r="C7" s="5"/>
      <c r="D7" s="7"/>
      <c r="E7" s="287" t="s">
        <v>67</v>
      </c>
      <c r="F7" s="287"/>
      <c r="G7" s="287"/>
      <c r="H7" s="58" t="e">
        <f>(G28+H28+E32+F32+G32)-(G27+H27+E31+F31+G31)</f>
        <v>#REF!</v>
      </c>
    </row>
    <row r="8" spans="1:8" ht="16.2" x14ac:dyDescent="0.45">
      <c r="E8" s="287" t="s">
        <v>49</v>
      </c>
      <c r="F8" s="287"/>
      <c r="G8" s="287"/>
      <c r="H8" s="43" t="e">
        <f>$C$118-$B$118</f>
        <v>#REF!</v>
      </c>
    </row>
    <row r="9" spans="1:8" ht="16.2" x14ac:dyDescent="0.45">
      <c r="A9" s="288" t="s">
        <v>10</v>
      </c>
      <c r="B9" s="289"/>
      <c r="C9" s="14">
        <f>Dashboard!J34</f>
        <v>90000</v>
      </c>
      <c r="E9" s="287" t="s">
        <v>50</v>
      </c>
      <c r="F9" s="287"/>
      <c r="G9" s="287"/>
      <c r="H9" s="43" t="e">
        <f>$C$119-$B$119</f>
        <v>#REF!</v>
      </c>
    </row>
    <row r="10" spans="1:8" ht="16.2" x14ac:dyDescent="0.45">
      <c r="A10" s="288" t="s">
        <v>71</v>
      </c>
      <c r="B10" s="289"/>
      <c r="C10" s="14">
        <f>Virksomhedssetup!E11</f>
        <v>8</v>
      </c>
      <c r="E10" s="287" t="s">
        <v>69</v>
      </c>
      <c r="F10" s="287"/>
      <c r="G10" s="287"/>
      <c r="H10" s="43" t="e">
        <f>$C$120-$B$120</f>
        <v>#REF!</v>
      </c>
    </row>
    <row r="11" spans="1:8" x14ac:dyDescent="0.3">
      <c r="A11" s="288" t="s">
        <v>128</v>
      </c>
      <c r="B11" s="289"/>
      <c r="C11" s="14">
        <f>Virksomhedssetup!E12</f>
        <v>7500</v>
      </c>
    </row>
    <row r="12" spans="1:8" x14ac:dyDescent="0.3">
      <c r="A12" s="288" t="s">
        <v>129</v>
      </c>
      <c r="B12" s="289"/>
      <c r="C12" s="14">
        <f>Virksomhedssetup!E13</f>
        <v>96</v>
      </c>
    </row>
    <row r="13" spans="1:8" x14ac:dyDescent="0.3">
      <c r="A13" s="288" t="s">
        <v>139</v>
      </c>
      <c r="B13" s="289"/>
      <c r="C13" s="14">
        <f>Virksomhedssetup!E14</f>
        <v>300</v>
      </c>
      <c r="E13" s="290" t="s">
        <v>20</v>
      </c>
      <c r="F13" s="290"/>
      <c r="G13" s="290"/>
      <c r="H13" s="290"/>
    </row>
    <row r="14" spans="1:8" x14ac:dyDescent="0.3">
      <c r="A14" s="288" t="s">
        <v>138</v>
      </c>
      <c r="B14" s="289"/>
      <c r="C14" s="14">
        <f>Virksomhedssetup!E15</f>
        <v>300</v>
      </c>
      <c r="E14" s="291" t="s">
        <v>82</v>
      </c>
      <c r="F14" s="291"/>
      <c r="G14" s="291"/>
      <c r="H14" s="291"/>
    </row>
    <row r="15" spans="1:8" x14ac:dyDescent="0.3">
      <c r="E15" s="248" t="s">
        <v>83</v>
      </c>
      <c r="F15" s="248"/>
      <c r="G15" s="248"/>
      <c r="H15" s="100" t="e">
        <f>C48-(B48+B57)</f>
        <v>#REF!</v>
      </c>
    </row>
    <row r="16" spans="1:8" x14ac:dyDescent="0.3">
      <c r="A16" s="234" t="s">
        <v>149</v>
      </c>
      <c r="B16" s="234"/>
      <c r="C16" s="234"/>
      <c r="E16" s="248" t="s">
        <v>13</v>
      </c>
      <c r="F16" s="248"/>
      <c r="G16" s="248"/>
      <c r="H16" s="100">
        <f>IF($C$10=1,'Dataark TCO'!P5*1,
IF($C$10=2,(('Dataark TCO'!P5+'Dataark TCO'!P10)/2),
IF($C$10=3,(('Dataark TCO'!P5+'Dataark TCO'!P10+'Dataark TCO'!P15)/3),
IF($C$10=4,(('Dataark TCO'!P5+'Dataark TCO'!P10+'Dataark TCO'!P15+'Dataark TCO'!P20)/4),
IF($C$10=5,(('Dataark TCO'!P5+'Dataark TCO'!P10+'Dataark TCO'!P15+'Dataark TCO'!P20+'Dataark TCO'!P25)/5),
IF($C$10=6,(('Dataark TCO'!P5+'Dataark TCO'!P10+'Dataark TCO'!P15+'Dataark TCO'!P20+'Dataark TCO'!P25+'Dataark TCO'!P25)/6),
IF($C$10=7,(('Dataark TCO'!P5+'Dataark TCO'!P10+'Dataark TCO'!P15+'Dataark TCO'!P20+'Dataark TCO'!P25+'Dataark TCO'!P25+'Dataark TCO'!P25)/7),
IF($C$10=8,(('Dataark TCO'!P5+'Dataark TCO'!P10+'Dataark TCO'!P15+'Dataark TCO'!P20+'Dataark TCO'!P25+'Dataark TCO'!P25+'Dataark TCO'!P25+'Dataark TCO'!P25)/8),
IF($C$10=9,(('Dataark TCO'!P5+'Dataark TCO'!P10+'Dataark TCO'!P15+'Dataark TCO'!P20+'Dataark TCO'!P25+'Dataark TCO'!P25+'Dataark TCO'!P25+'Dataark TCO'!P25+'Dataark TCO'!P25)/9),
IF($C$10=10,(('Dataark TCO'!P5+'Dataark TCO'!P10+'Dataark TCO'!P15+'Dataark TCO'!P20+'Dataark TCO'!P25+'Dataark TCO'!P25+'Dataark TCO'!P25+'Dataark TCO'!P25+'Dataark TCO'!P30+'Dataark TCO'!P35)/10),
IF($C$10=11,(('Dataark TCO'!P5+'Dataark TCO'!P10+'Dataark TCO'!P15+'Dataark TCO'!P20+'Dataark TCO'!P25+'Dataark TCO'!P30+'Dataark TCO'!P35+'Dataark TCO'!P35+'Dataark TCO'!P35+'Dataark TCO'!P35+'Dataark TCO'!P35)/11),
IF($C$10=12,(('Dataark TCO'!P5+'Dataark TCO'!P10+'Dataark TCO'!P15+'Dataark TCO'!P20+'Dataark TCO'!P25+'Dataark TCO'!P30+'Dataark TCO'!P35+'Dataark TCO'!P35+'Dataark TCO'!P35+'Dataark TCO'!P35+'Dataark TCO'!P35+'Dataark TCO'!P35)/12),
IF($C$10=13,(('Dataark TCO'!P5+'Dataark TCO'!P10+'Dataark TCO'!P15+'Dataark TCO'!P20+'Dataark TCO'!P25+'Dataark TCO'!P30+'Dataark TCO'!P35+'Dataark TCO'!P35+'Dataark TCO'!P35+'Dataark TCO'!P35+'Dataark TCO'!P35+'Dataark TCO'!P35+'Dataark TCO'!P35)/13))))))))))))))</f>
        <v>11427.604019925806</v>
      </c>
    </row>
    <row r="17" spans="1:9" ht="16.2" x14ac:dyDescent="0.45">
      <c r="A17" s="235" t="s">
        <v>150</v>
      </c>
      <c r="B17" s="235"/>
      <c r="C17" s="15" t="e">
        <f>Virksomhedssetup!#REF!</f>
        <v>#REF!</v>
      </c>
      <c r="E17" s="292" t="s">
        <v>2</v>
      </c>
      <c r="F17" s="292"/>
      <c r="G17" s="292"/>
      <c r="H17" s="101" t="e">
        <f>(H15-H15-H15)/H16</f>
        <v>#REF!</v>
      </c>
    </row>
    <row r="18" spans="1:9" ht="16.2" x14ac:dyDescent="0.45">
      <c r="A18" s="235" t="s">
        <v>154</v>
      </c>
      <c r="B18" s="235"/>
      <c r="C18" s="14" t="e">
        <f>Virksomhedssetup!#REF!</f>
        <v>#REF!</v>
      </c>
      <c r="E18" s="292" t="s">
        <v>11</v>
      </c>
      <c r="F18" s="292"/>
      <c r="G18" s="292"/>
      <c r="H18" s="102" t="e">
        <f>H17/12</f>
        <v>#REF!</v>
      </c>
    </row>
    <row r="19" spans="1:9" x14ac:dyDescent="0.3">
      <c r="A19" s="235" t="s">
        <v>151</v>
      </c>
      <c r="B19" s="235"/>
      <c r="C19" s="15" t="e">
        <f>Virksomhedssetup!#REF!</f>
        <v>#REF!</v>
      </c>
    </row>
    <row r="20" spans="1:9" x14ac:dyDescent="0.3">
      <c r="A20" s="235" t="s">
        <v>155</v>
      </c>
      <c r="B20" s="235"/>
      <c r="C20" s="14" t="e">
        <f>Virksomhedssetup!#REF!</f>
        <v>#REF!</v>
      </c>
    </row>
    <row r="21" spans="1:9" x14ac:dyDescent="0.3">
      <c r="A21" s="235" t="s">
        <v>152</v>
      </c>
      <c r="B21" s="235"/>
      <c r="C21" s="15" t="e">
        <f>Virksomhedssetup!#REF!</f>
        <v>#REF!</v>
      </c>
      <c r="E21" s="234" t="s">
        <v>197</v>
      </c>
      <c r="F21" s="234"/>
      <c r="G21" s="234"/>
      <c r="H21" s="234"/>
    </row>
    <row r="22" spans="1:9" x14ac:dyDescent="0.3">
      <c r="A22" s="235" t="s">
        <v>156</v>
      </c>
      <c r="B22" s="235"/>
      <c r="C22" s="14" t="e">
        <f>Virksomhedssetup!#REF!</f>
        <v>#REF!</v>
      </c>
      <c r="E22" s="20"/>
      <c r="F22" s="234" t="s">
        <v>114</v>
      </c>
      <c r="G22" s="234"/>
      <c r="H22" s="20" t="s">
        <v>15</v>
      </c>
    </row>
    <row r="23" spans="1:9" x14ac:dyDescent="0.3">
      <c r="A23" s="235" t="s">
        <v>153</v>
      </c>
      <c r="B23" s="235"/>
      <c r="C23" s="15" t="e">
        <f>Virksomhedssetup!#REF!</f>
        <v>#REF!</v>
      </c>
      <c r="E23" s="94" t="s">
        <v>198</v>
      </c>
      <c r="F23" s="293" t="e">
        <f>B119/((B32*$C$13)*(B61/9))</f>
        <v>#REF!</v>
      </c>
      <c r="G23" s="293"/>
      <c r="H23" s="104" t="e">
        <f>C119/((C32*$C$13)*(C61/9))</f>
        <v>#REF!</v>
      </c>
    </row>
    <row r="24" spans="1:9" x14ac:dyDescent="0.3">
      <c r="A24" s="235" t="s">
        <v>157</v>
      </c>
      <c r="B24" s="235"/>
      <c r="C24" s="14" t="e">
        <f>Virksomhedssetup!#REF!</f>
        <v>#REF!</v>
      </c>
      <c r="E24" s="94" t="s">
        <v>199</v>
      </c>
      <c r="F24" s="294" t="e">
        <f>F23/$C$9</f>
        <v>#REF!</v>
      </c>
      <c r="G24" s="294"/>
      <c r="H24" s="105" t="e">
        <f>H23/$C$9</f>
        <v>#REF!</v>
      </c>
    </row>
    <row r="26" spans="1:9" x14ac:dyDescent="0.3">
      <c r="A26" s="234" t="s">
        <v>140</v>
      </c>
      <c r="B26" s="234"/>
      <c r="C26" s="234"/>
      <c r="E26" s="29"/>
      <c r="F26" s="29"/>
      <c r="G26" s="30" t="s">
        <v>130</v>
      </c>
      <c r="H26" s="30" t="s">
        <v>27</v>
      </c>
      <c r="I26" s="3" t="s">
        <v>126</v>
      </c>
    </row>
    <row r="27" spans="1:9" x14ac:dyDescent="0.3">
      <c r="A27" s="20"/>
      <c r="B27" s="28" t="s">
        <v>0</v>
      </c>
      <c r="C27" s="28" t="s">
        <v>7</v>
      </c>
      <c r="E27" s="295" t="s">
        <v>31</v>
      </c>
      <c r="F27" s="30" t="s">
        <v>14</v>
      </c>
      <c r="G27" s="31" t="e">
        <f>(B46)/C11</f>
        <v>#REF!</v>
      </c>
      <c r="H27" s="31">
        <f>B55/C11</f>
        <v>0.34499999999999997</v>
      </c>
      <c r="I27" s="93">
        <f>B65/$C$11</f>
        <v>4</v>
      </c>
    </row>
    <row r="28" spans="1:9" x14ac:dyDescent="0.3">
      <c r="A28" s="8" t="s">
        <v>141</v>
      </c>
      <c r="B28" s="8">
        <f>Virksomhedssetup!D19</f>
        <v>550</v>
      </c>
      <c r="C28" s="68"/>
      <c r="E28" s="295"/>
      <c r="F28" s="30" t="s">
        <v>15</v>
      </c>
      <c r="G28" s="31">
        <f>C46/C11</f>
        <v>1.6528820545640963</v>
      </c>
      <c r="H28" s="31">
        <v>0</v>
      </c>
      <c r="I28">
        <f>C65/$C$11</f>
        <v>4</v>
      </c>
    </row>
    <row r="29" spans="1:9" x14ac:dyDescent="0.3">
      <c r="A29" s="8" t="s">
        <v>142</v>
      </c>
      <c r="B29" s="8">
        <f>Virksomhedssetup!D20</f>
        <v>300</v>
      </c>
      <c r="C29" s="68"/>
      <c r="E29" s="295"/>
      <c r="F29" s="29"/>
      <c r="G29" s="29"/>
      <c r="H29" s="29"/>
      <c r="I29" s="29"/>
    </row>
    <row r="30" spans="1:9" x14ac:dyDescent="0.3">
      <c r="A30" s="8" t="s">
        <v>177</v>
      </c>
      <c r="B30" s="8">
        <f>Virksomhedssetup!D21</f>
        <v>1.3</v>
      </c>
      <c r="C30" s="8">
        <f>Virksomhedssetup!E21</f>
        <v>0.28799999999999998</v>
      </c>
      <c r="E30" s="75" t="s">
        <v>24</v>
      </c>
      <c r="F30" s="30" t="s">
        <v>25</v>
      </c>
      <c r="G30" s="30" t="s">
        <v>22</v>
      </c>
      <c r="H30" s="30" t="s">
        <v>21</v>
      </c>
      <c r="I30" s="29"/>
    </row>
    <row r="31" spans="1:9" x14ac:dyDescent="0.3">
      <c r="A31" s="60" t="s">
        <v>143</v>
      </c>
      <c r="B31" s="60">
        <f>B28/B30</f>
        <v>423.07692307692304</v>
      </c>
      <c r="C31" s="67"/>
      <c r="E31" s="76" t="e">
        <f>B101/C11</f>
        <v>#REF!</v>
      </c>
      <c r="F31" s="31">
        <f>B110/C11</f>
        <v>1.3414666666666666</v>
      </c>
      <c r="G31" s="31">
        <f>IF($C$10=1,Afgifter!C77,
IF($C$10=2,(Afgifter!C77+Afgifter!D77)/2,
IF($C$10=3,(Afgifter!C77+Afgifter!D77+Afgifter!E77)/3,
IF($C$10=4,(Afgifter!C77+Afgifter!D77+Afgifter!E77+Afgifter!F77)/4,
IF($C$10=5,(Afgifter!C77+Afgifter!D77+Afgifter!E77+Afgifter!F77+Afgifter!G77)/5,
IF($C$10=6,(Afgifter!C77+Afgifter!D77+Afgifter!E77+Afgifter!F77+Afgifter!G77+Afgifter!H77)/6,
IF($C$10=7,(Afgifter!C77+Afgifter!D77+Afgifter!E77+Afgifter!F77+Afgifter!G77+Afgifter!H77+Afgifter!I77)/7,
IF($C$10=8,(Afgifter!C77+Afgifter!D77+Afgifter!E77+Afgifter!F77+Afgifter!G77+Afgifter!H77+Afgifter!I77+Afgifter!I77)/8,
IF($C$10=9,(Afgifter!C77+Afgifter!D77+Afgifter!E77+Afgifter!F77+Afgifter!G77+Afgifter!H77+Afgifter!I77+Afgifter!I77+Afgifter!I77)/9,
IF($C$10=10,(Afgifter!C77+Afgifter!D77+Afgifter!E77+Afgifter!F77+Afgifter!G77+Afgifter!H77+Afgifter!I77+Afgifter!I77+Afgifter!I77+Afgifter!I77)/10,
IF($C$10=11,(Afgifter!C77+Afgifter!D77+Afgifter!E77+Afgifter!F77+Afgifter!G77+Afgifter!H77+Afgifter!I77+Afgifter!I77+Afgifter!I77+Afgifter!I77+Afgifter!I77)/11,
IF($C$10=12,(Afgifter!C77+Afgifter!D77+Afgifter!E77+Afgifter!F77+Afgifter!G77+Afgifter!H77+Afgifter!I77+Afgifter!I77+Afgifter!I77+Afgifter!I77+Afgifter!I77+Afgifter!I77)/12))))))))))))</f>
        <v>0.33415119585716013</v>
      </c>
      <c r="H31" s="29">
        <v>1E-14</v>
      </c>
      <c r="I31" s="32" t="e">
        <f>"Total "&amp;ROUND(G27+H27+E31+F31+G31+I27,2)</f>
        <v>#REF!</v>
      </c>
    </row>
    <row r="32" spans="1:9" x14ac:dyDescent="0.3">
      <c r="A32" s="60" t="s">
        <v>200</v>
      </c>
      <c r="B32" s="96" t="e">
        <f>Virksomhedssetup!#REF!</f>
        <v>#REF!</v>
      </c>
      <c r="C32" s="96" t="e">
        <f>Virksomhedssetup!#REF!</f>
        <v>#REF!</v>
      </c>
      <c r="E32" s="76" t="e">
        <f>C101/C11</f>
        <v>#REF!</v>
      </c>
      <c r="F32" s="31">
        <f>C110/C11</f>
        <v>0.88906666666666667</v>
      </c>
      <c r="G32" s="31">
        <f>IF($C$10=1,Afgifter!C78,
IF($C$10=2,(Afgifter!C78+Afgifter!D78)/2,
IF($C$10=3,(Afgifter!C78+Afgifter!D78+Afgifter!E78)/3,
IF($C$10=4,(Afgifter!C78+Afgifter!D78+Afgifter!E78+Afgifter!F78)/4,
IF($C$10=5,(Afgifter!C78+Afgifter!D78+Afgifter!E78+Afgifter!F78+Afgifter!G78)/5,
IF($C$10=6,(Afgifter!C78+Afgifter!D78+Afgifter!E78+Afgifter!F78+Afgifter!G78+Afgifter!H78)/6,
IF($C$10=7,(Afgifter!C78+Afgifter!D78+Afgifter!E78+Afgifter!F78+Afgifter!G78+Afgifter!H78+Afgifter!I78)/7,
IF($C$10=8,(Afgifter!C78+Afgifter!D78+Afgifter!E78+Afgifter!F78+Afgifter!G78+Afgifter!H78+Afgifter!I78+Afgifter!I78)/8,
IF($C$10=9,(Afgifter!C78+Afgifter!D78+Afgifter!E78+Afgifter!F78+Afgifter!G78+Afgifter!H78+Afgifter!I78+Afgifter!I78+Afgifter!I78)/9,
IF($C$10=10,(Afgifter!C78+Afgifter!D78+Afgifter!E78+Afgifter!F78+Afgifter!G78+Afgifter!H78+Afgifter!I78+Afgifter!I78+Afgifter!I78+Afgifter!I78)/10,
IF($C$10=11,(Afgifter!C78+Afgifter!D78+Afgifter!E78+Afgifter!F78+Afgifter!G78+Afgifter!H78+Afgifter!I78+Afgifter!I78+Afgifter!I78+Afgifter!I78+Afgifter!I78)/11,
IF($C$10=12,(Afgifter!C78+Afgifter!D78+Afgifter!E78+Afgifter!F78+Afgifter!G78+Afgifter!H78+Afgifter!I78+Afgifter!I78+Afgifter!I78+Afgifter!I78+Afgifter!I78+Afgifter!I78)/12))))))))))))</f>
        <v>1.258706103173699</v>
      </c>
      <c r="H32" s="29">
        <v>1E-14</v>
      </c>
      <c r="I32" s="32" t="e">
        <f>"Total "&amp;ROUND(G28+H28+E32+F32+G32+I28,2)</f>
        <v>#REF!</v>
      </c>
    </row>
    <row r="34" spans="1:31" s="29" customFormat="1" x14ac:dyDescent="0.3">
      <c r="A34" s="28" t="s">
        <v>19</v>
      </c>
      <c r="B34" s="28" t="s">
        <v>0</v>
      </c>
      <c r="C34" s="28" t="s">
        <v>7</v>
      </c>
      <c r="D34"/>
      <c r="X34"/>
      <c r="Y34"/>
      <c r="Z34"/>
      <c r="AA34"/>
      <c r="AB34"/>
      <c r="AC34"/>
      <c r="AD34"/>
      <c r="AE34"/>
    </row>
    <row r="35" spans="1:31" s="29" customFormat="1" x14ac:dyDescent="0.3">
      <c r="A35" s="296" t="s">
        <v>8</v>
      </c>
      <c r="B35" s="296"/>
      <c r="C35" s="296"/>
      <c r="D35"/>
      <c r="X35"/>
      <c r="Y35"/>
      <c r="Z35"/>
      <c r="AA35"/>
      <c r="AB35"/>
      <c r="AC35"/>
      <c r="AD35"/>
      <c r="AE35"/>
    </row>
    <row r="36" spans="1:31" s="29" customFormat="1" x14ac:dyDescent="0.3">
      <c r="A36" s="249" t="s">
        <v>130</v>
      </c>
      <c r="B36" s="249"/>
      <c r="C36" s="249"/>
      <c r="D36"/>
      <c r="X36"/>
      <c r="Y36"/>
      <c r="Z36"/>
      <c r="AA36"/>
      <c r="AB36"/>
      <c r="AC36"/>
      <c r="AD36"/>
      <c r="AE36"/>
    </row>
    <row r="37" spans="1:31" s="29" customFormat="1" x14ac:dyDescent="0.3">
      <c r="A37" s="8" t="s">
        <v>38</v>
      </c>
      <c r="B37" s="16" t="e">
        <f>IF(Dashboard!U34=2024,#REF!,IF(Dashboard!U34=2025,#REF!,IF(Dashboard!U34=2026,#REF!,IF(Dashboard!U34=2027,#REF!,IF(Dashboard!U34=2028,#REF!,IF(Dashboard!U34=2029,#REF!,IF(Dashboard!U34="2030 eller senere",#REF!)))))))</f>
        <v>#REF!</v>
      </c>
      <c r="C37" s="16">
        <f>Virksomhedssetup!E27</f>
        <v>1150000</v>
      </c>
      <c r="D37"/>
      <c r="X37"/>
      <c r="Y37"/>
      <c r="Z37"/>
      <c r="AA37"/>
      <c r="AB37"/>
      <c r="AC37"/>
      <c r="AD37"/>
      <c r="AE37"/>
    </row>
    <row r="38" spans="1:31" s="29" customFormat="1" x14ac:dyDescent="0.3">
      <c r="A38" s="8" t="s">
        <v>37</v>
      </c>
      <c r="B38" s="16">
        <f>Virksomhedssetup!D28</f>
        <v>0</v>
      </c>
      <c r="C38" s="16">
        <f>Virksomhedssetup!E28</f>
        <v>0</v>
      </c>
      <c r="D38" s="103"/>
      <c r="K38" s="31"/>
      <c r="L38" s="31"/>
      <c r="N38" s="32"/>
      <c r="X38"/>
      <c r="Y38"/>
      <c r="Z38"/>
      <c r="AA38"/>
      <c r="AB38"/>
      <c r="AC38"/>
      <c r="AD38"/>
      <c r="AE38"/>
    </row>
    <row r="39" spans="1:31" s="29" customFormat="1" x14ac:dyDescent="0.3">
      <c r="A39" s="5" t="s">
        <v>36</v>
      </c>
      <c r="B39" s="83" t="e">
        <f>(B38/B37)*100</f>
        <v>#REF!</v>
      </c>
      <c r="C39" s="83">
        <f>(C38/C37)*100</f>
        <v>0</v>
      </c>
      <c r="D39"/>
      <c r="X39"/>
      <c r="Y39"/>
      <c r="Z39"/>
      <c r="AA39"/>
      <c r="AB39"/>
      <c r="AC39"/>
      <c r="AD39"/>
      <c r="AE39"/>
    </row>
    <row r="40" spans="1:31" s="29" customFormat="1" x14ac:dyDescent="0.3">
      <c r="A40" s="5" t="s">
        <v>39</v>
      </c>
      <c r="B40" s="47" t="e">
        <f>B37-B38</f>
        <v>#REF!</v>
      </c>
      <c r="C40" s="47">
        <f>C37-C38</f>
        <v>1150000</v>
      </c>
      <c r="D40"/>
      <c r="X40"/>
      <c r="Y40"/>
      <c r="Z40"/>
      <c r="AA40"/>
      <c r="AB40"/>
      <c r="AC40"/>
      <c r="AD40"/>
      <c r="AE40"/>
    </row>
    <row r="41" spans="1:31" s="29" customFormat="1" x14ac:dyDescent="0.3">
      <c r="A41" s="8" t="s">
        <v>40</v>
      </c>
      <c r="B41" s="16">
        <f>Virksomhedssetup!D31</f>
        <v>0</v>
      </c>
      <c r="C41" s="16">
        <f>Virksomhedssetup!E31</f>
        <v>0</v>
      </c>
      <c r="D41"/>
      <c r="X41"/>
      <c r="Y41"/>
      <c r="Z41"/>
      <c r="AA41"/>
      <c r="AB41"/>
      <c r="AC41"/>
      <c r="AD41"/>
      <c r="AE41"/>
    </row>
    <row r="42" spans="1:31" s="29" customFormat="1" x14ac:dyDescent="0.3">
      <c r="A42" s="8" t="s">
        <v>41</v>
      </c>
      <c r="B42" s="77">
        <f>Virksomhedssetup!D32</f>
        <v>10</v>
      </c>
      <c r="C42" s="77">
        <f>Virksomhedssetup!E32</f>
        <v>10</v>
      </c>
      <c r="D42"/>
      <c r="X42"/>
      <c r="Y42"/>
      <c r="Z42"/>
      <c r="AA42"/>
      <c r="AB42"/>
      <c r="AC42"/>
      <c r="AD42"/>
      <c r="AE42"/>
    </row>
    <row r="43" spans="1:31" s="29" customFormat="1" x14ac:dyDescent="0.3">
      <c r="A43" s="5" t="s">
        <v>70</v>
      </c>
      <c r="B43" s="47" t="e">
        <f>(B37/100)*B42</f>
        <v>#REF!</v>
      </c>
      <c r="C43" s="47">
        <f>(C37/100)*C42</f>
        <v>115000</v>
      </c>
      <c r="D43"/>
      <c r="G43" s="55"/>
      <c r="I43" s="55"/>
      <c r="X43"/>
      <c r="Y43"/>
      <c r="Z43"/>
      <c r="AA43"/>
      <c r="AB43"/>
      <c r="AC43"/>
      <c r="AD43"/>
      <c r="AE43"/>
    </row>
    <row r="44" spans="1:31" s="29" customFormat="1" x14ac:dyDescent="0.3">
      <c r="A44" s="8" t="s">
        <v>1</v>
      </c>
      <c r="B44" s="78">
        <f>Virksomhedssetup!D34</f>
        <v>0.03</v>
      </c>
      <c r="C44" s="78">
        <f>Virksomhedssetup!E34</f>
        <v>0.03</v>
      </c>
      <c r="D44"/>
      <c r="X44"/>
      <c r="Y44"/>
      <c r="Z44"/>
      <c r="AA44"/>
      <c r="AB44"/>
      <c r="AC44"/>
      <c r="AD44"/>
      <c r="AE44"/>
    </row>
    <row r="45" spans="1:31" s="29" customFormat="1" x14ac:dyDescent="0.3">
      <c r="A45" s="5" t="s">
        <v>42</v>
      </c>
      <c r="B45" s="47" t="e">
        <f>B48-(B40-B43-B41)</f>
        <v>#REF!</v>
      </c>
      <c r="C45" s="47">
        <f>C48-(C40-C43-C41)</f>
        <v>155075.07928614924</v>
      </c>
      <c r="D45"/>
      <c r="H45" s="82"/>
      <c r="X45"/>
      <c r="Y45"/>
      <c r="Z45"/>
      <c r="AA45"/>
      <c r="AB45"/>
      <c r="AC45"/>
      <c r="AD45"/>
      <c r="AE45"/>
    </row>
    <row r="46" spans="1:31" s="29" customFormat="1" ht="16.2" x14ac:dyDescent="0.3">
      <c r="A46" s="9" t="s">
        <v>43</v>
      </c>
      <c r="B46" s="44" t="e">
        <f>PMT(B44/12,$C$12,(B40-B41)*-1,B43,1)</f>
        <v>#REF!</v>
      </c>
      <c r="C46" s="44">
        <f>PMT(C44/12,$C$12,(C40-C41)*-1,C43,1)</f>
        <v>12396.615409230722</v>
      </c>
      <c r="D46" s="41"/>
      <c r="E46"/>
      <c r="F46"/>
      <c r="G46"/>
      <c r="H46"/>
      <c r="I46"/>
      <c r="X46"/>
      <c r="Y46"/>
      <c r="Z46"/>
      <c r="AA46"/>
      <c r="AB46"/>
      <c r="AC46"/>
      <c r="AD46"/>
      <c r="AE46"/>
    </row>
    <row r="47" spans="1:31" s="29" customFormat="1" x14ac:dyDescent="0.3">
      <c r="A47" s="9" t="s">
        <v>44</v>
      </c>
      <c r="B47" s="18" t="e">
        <f>B46*12</f>
        <v>#REF!</v>
      </c>
      <c r="C47" s="18">
        <f>C46*12</f>
        <v>148759.38491076865</v>
      </c>
      <c r="D47" s="41"/>
      <c r="E47"/>
      <c r="F47"/>
      <c r="G47"/>
      <c r="H47"/>
      <c r="I47"/>
      <c r="X47"/>
      <c r="Y47"/>
      <c r="Z47"/>
      <c r="AA47"/>
      <c r="AB47"/>
      <c r="AC47"/>
      <c r="AD47"/>
      <c r="AE47"/>
    </row>
    <row r="48" spans="1:31" s="29" customFormat="1" x14ac:dyDescent="0.3">
      <c r="A48" s="9" t="s">
        <v>72</v>
      </c>
      <c r="B48" s="18" t="e">
        <f>B47*C10</f>
        <v>#REF!</v>
      </c>
      <c r="C48" s="18">
        <f>C47*C10</f>
        <v>1190075.0792861492</v>
      </c>
      <c r="D48" s="41"/>
      <c r="E48"/>
      <c r="F48"/>
      <c r="G48"/>
      <c r="H48"/>
      <c r="I48"/>
      <c r="X48"/>
      <c r="Y48"/>
      <c r="Z48"/>
      <c r="AA48"/>
      <c r="AB48"/>
      <c r="AC48"/>
      <c r="AD48"/>
      <c r="AE48"/>
    </row>
    <row r="49" spans="1:31" s="29" customFormat="1" x14ac:dyDescent="0.3">
      <c r="A49" s="249" t="s">
        <v>27</v>
      </c>
      <c r="B49" s="249"/>
      <c r="C49" s="249"/>
      <c r="D49" s="41"/>
      <c r="X49"/>
      <c r="Y49"/>
      <c r="Z49"/>
      <c r="AA49"/>
      <c r="AB49"/>
      <c r="AC49"/>
      <c r="AD49"/>
      <c r="AE49"/>
    </row>
    <row r="50" spans="1:31" s="29" customFormat="1" x14ac:dyDescent="0.3">
      <c r="A50" s="8" t="s">
        <v>136</v>
      </c>
      <c r="B50" s="59">
        <f>Virksomhedssetup!D40</f>
        <v>50</v>
      </c>
      <c r="C50" s="70"/>
      <c r="D50" s="41"/>
      <c r="X50"/>
      <c r="Y50"/>
      <c r="Z50"/>
      <c r="AA50"/>
      <c r="AB50"/>
      <c r="AC50"/>
      <c r="AD50"/>
      <c r="AE50"/>
    </row>
    <row r="51" spans="1:31" s="29" customFormat="1" x14ac:dyDescent="0.3">
      <c r="A51" s="8" t="s">
        <v>132</v>
      </c>
      <c r="B51" s="16">
        <f>Virksomhedssetup!D41</f>
        <v>150000</v>
      </c>
      <c r="C51" s="70"/>
      <c r="D51" s="41"/>
      <c r="X51"/>
      <c r="Y51"/>
      <c r="Z51"/>
      <c r="AA51"/>
      <c r="AB51"/>
      <c r="AC51"/>
      <c r="AD51"/>
      <c r="AE51"/>
    </row>
    <row r="52" spans="1:31" s="29" customFormat="1" x14ac:dyDescent="0.3">
      <c r="A52" s="8" t="s">
        <v>131</v>
      </c>
      <c r="B52" s="59">
        <f>Virksomhedssetup!D42</f>
        <v>80</v>
      </c>
      <c r="C52" s="70"/>
      <c r="D52" s="41"/>
      <c r="X52"/>
      <c r="Y52"/>
      <c r="Z52"/>
      <c r="AA52"/>
      <c r="AB52"/>
      <c r="AC52"/>
      <c r="AD52"/>
      <c r="AE52"/>
    </row>
    <row r="53" spans="1:31" s="29" customFormat="1" x14ac:dyDescent="0.3">
      <c r="A53" s="5" t="s">
        <v>133</v>
      </c>
      <c r="B53" s="47">
        <f>(B52-25)*1200+16400</f>
        <v>82400</v>
      </c>
      <c r="C53" s="70"/>
      <c r="D53" s="41"/>
      <c r="X53"/>
      <c r="Y53"/>
      <c r="Z53"/>
      <c r="AA53"/>
      <c r="AB53"/>
      <c r="AC53"/>
      <c r="AD53"/>
      <c r="AE53"/>
    </row>
    <row r="54" spans="1:31" s="29" customFormat="1" x14ac:dyDescent="0.3">
      <c r="A54" s="8" t="s">
        <v>178</v>
      </c>
      <c r="B54" s="16">
        <f>Virksomhedssetup!D44</f>
        <v>16000</v>
      </c>
      <c r="C54" s="70"/>
      <c r="D54" s="41"/>
      <c r="X54"/>
      <c r="Y54"/>
      <c r="Z54"/>
      <c r="AA54"/>
      <c r="AB54"/>
      <c r="AC54"/>
      <c r="AD54"/>
      <c r="AE54"/>
    </row>
    <row r="55" spans="1:31" s="29" customFormat="1" x14ac:dyDescent="0.3">
      <c r="A55" s="9" t="s">
        <v>169</v>
      </c>
      <c r="B55" s="18">
        <f>B56/12</f>
        <v>2587.5</v>
      </c>
      <c r="C55" s="18">
        <v>0</v>
      </c>
      <c r="D55" s="41"/>
      <c r="X55"/>
      <c r="Y55"/>
      <c r="Z55"/>
      <c r="AA55"/>
      <c r="AB55"/>
      <c r="AC55"/>
      <c r="AD55"/>
      <c r="AE55"/>
    </row>
    <row r="56" spans="1:31" s="29" customFormat="1" x14ac:dyDescent="0.3">
      <c r="A56" s="9" t="s">
        <v>170</v>
      </c>
      <c r="B56" s="18">
        <f>B57/C10</f>
        <v>31050</v>
      </c>
      <c r="C56" s="18">
        <v>0</v>
      </c>
      <c r="D56" s="41"/>
      <c r="X56"/>
      <c r="Y56"/>
      <c r="Z56"/>
      <c r="AA56"/>
      <c r="AB56"/>
      <c r="AC56"/>
      <c r="AD56"/>
      <c r="AE56"/>
    </row>
    <row r="57" spans="1:31" s="29" customFormat="1" x14ac:dyDescent="0.3">
      <c r="A57" s="9" t="s">
        <v>179</v>
      </c>
      <c r="B57" s="18">
        <f>B51+B53+B54</f>
        <v>248400</v>
      </c>
      <c r="C57" s="18">
        <v>0</v>
      </c>
      <c r="D57" s="41"/>
      <c r="G57"/>
      <c r="H57"/>
      <c r="I57"/>
      <c r="X57"/>
      <c r="Y57"/>
      <c r="Z57"/>
      <c r="AA57"/>
      <c r="AB57"/>
      <c r="AC57"/>
      <c r="AD57"/>
      <c r="AE57"/>
    </row>
    <row r="58" spans="1:31" s="29" customFormat="1" x14ac:dyDescent="0.3">
      <c r="A58" s="234" t="s">
        <v>9</v>
      </c>
      <c r="B58" s="234"/>
      <c r="C58" s="234"/>
      <c r="D58" s="41"/>
      <c r="G58"/>
      <c r="H58"/>
      <c r="I58"/>
      <c r="X58"/>
      <c r="Y58"/>
      <c r="Z58"/>
      <c r="AA58"/>
      <c r="AB58"/>
      <c r="AC58"/>
      <c r="AD58"/>
      <c r="AE58"/>
    </row>
    <row r="59" spans="1:31" s="29" customFormat="1" x14ac:dyDescent="0.3">
      <c r="A59" s="249" t="s">
        <v>126</v>
      </c>
      <c r="B59" s="249"/>
      <c r="C59" s="249"/>
      <c r="D59" s="41"/>
      <c r="G59" s="30"/>
      <c r="H59" s="30"/>
      <c r="I59" s="30"/>
      <c r="X59"/>
      <c r="Y59"/>
      <c r="Z59"/>
      <c r="AA59"/>
      <c r="AB59"/>
      <c r="AC59"/>
      <c r="AD59"/>
      <c r="AE59"/>
    </row>
    <row r="60" spans="1:31" s="29" customFormat="1" x14ac:dyDescent="0.3">
      <c r="A60" s="8" t="s">
        <v>127</v>
      </c>
      <c r="B60" s="16">
        <f>Virksomhedssetup!D47</f>
        <v>30000</v>
      </c>
      <c r="C60" s="16">
        <f>Virksomhedssetup!E47</f>
        <v>30000</v>
      </c>
      <c r="D60" s="41"/>
      <c r="G60" s="30"/>
      <c r="H60" s="30"/>
      <c r="I60" s="30"/>
      <c r="X60"/>
      <c r="Y60"/>
      <c r="Z60"/>
      <c r="AA60"/>
      <c r="AB60"/>
      <c r="AC60"/>
      <c r="AD60"/>
      <c r="AE60"/>
    </row>
    <row r="61" spans="1:31" s="29" customFormat="1" x14ac:dyDescent="0.3">
      <c r="A61" s="8" t="s">
        <v>137</v>
      </c>
      <c r="B61" s="39">
        <f>Virksomhedssetup!D48</f>
        <v>9</v>
      </c>
      <c r="C61" s="39">
        <f>Virksomhedssetup!E48</f>
        <v>9</v>
      </c>
      <c r="D61" s="41"/>
      <c r="G61" s="30"/>
      <c r="H61" s="30"/>
      <c r="I61" s="30"/>
      <c r="X61"/>
      <c r="Y61"/>
      <c r="Z61"/>
      <c r="AA61"/>
      <c r="AB61"/>
      <c r="AC61"/>
      <c r="AD61"/>
      <c r="AE61"/>
    </row>
    <row r="62" spans="1:31" s="29" customFormat="1" x14ac:dyDescent="0.3">
      <c r="A62" s="5" t="s">
        <v>144</v>
      </c>
      <c r="B62" s="61">
        <f>IF(B31&gt;C14,0,(C14-B13)/(B29))</f>
        <v>0</v>
      </c>
      <c r="C62" s="71"/>
      <c r="D62" s="41"/>
      <c r="G62" s="30"/>
      <c r="H62" s="30"/>
      <c r="I62" s="30"/>
      <c r="X62"/>
      <c r="Y62"/>
      <c r="Z62"/>
      <c r="AA62"/>
      <c r="AB62"/>
      <c r="AC62"/>
      <c r="AD62"/>
      <c r="AE62"/>
    </row>
    <row r="63" spans="1:31" s="29" customFormat="1" x14ac:dyDescent="0.3">
      <c r="A63" s="5" t="s">
        <v>135</v>
      </c>
      <c r="B63" s="61">
        <f>IF(B62&lt;1.5,0,B62-(0.75*(B61/4.5)))</f>
        <v>0</v>
      </c>
      <c r="C63" s="71"/>
      <c r="D63" s="41"/>
      <c r="G63" s="30"/>
      <c r="H63" s="30"/>
      <c r="I63" s="30"/>
      <c r="X63"/>
      <c r="Y63"/>
      <c r="Z63"/>
      <c r="AA63"/>
      <c r="AB63"/>
      <c r="AC63"/>
      <c r="AD63"/>
      <c r="AE63"/>
    </row>
    <row r="64" spans="1:31" s="29" customFormat="1" x14ac:dyDescent="0.3">
      <c r="A64" s="5" t="s">
        <v>134</v>
      </c>
      <c r="B64" s="61">
        <f>IF(B63&lt;0,0,(B63/B61)*100)</f>
        <v>0</v>
      </c>
      <c r="C64" s="71"/>
      <c r="D64" s="41"/>
      <c r="G64" s="30"/>
      <c r="H64" s="30"/>
      <c r="I64" s="30"/>
      <c r="X64"/>
      <c r="Y64"/>
      <c r="Z64"/>
      <c r="AA64"/>
      <c r="AB64"/>
      <c r="AC64"/>
      <c r="AD64"/>
      <c r="AE64"/>
    </row>
    <row r="65" spans="1:31" s="29" customFormat="1" x14ac:dyDescent="0.3">
      <c r="A65" s="9" t="s">
        <v>171</v>
      </c>
      <c r="B65" s="18">
        <f>((B60/100)*(100+B64))</f>
        <v>30000</v>
      </c>
      <c r="C65" s="18">
        <f>((C60/100)*(100+C64))</f>
        <v>30000</v>
      </c>
      <c r="D65" s="41"/>
      <c r="G65" s="30"/>
      <c r="H65" s="30"/>
      <c r="I65" s="30"/>
      <c r="X65"/>
      <c r="Y65"/>
      <c r="Z65"/>
      <c r="AA65"/>
      <c r="AB65"/>
      <c r="AC65"/>
      <c r="AD65"/>
      <c r="AE65"/>
    </row>
    <row r="66" spans="1:31" s="29" customFormat="1" x14ac:dyDescent="0.3">
      <c r="A66" s="9" t="s">
        <v>172</v>
      </c>
      <c r="B66" s="18">
        <f>B65*12</f>
        <v>360000</v>
      </c>
      <c r="C66" s="18">
        <f>C65*12</f>
        <v>360000</v>
      </c>
      <c r="D66" s="41"/>
      <c r="G66" s="30"/>
      <c r="H66" s="30"/>
      <c r="I66" s="30"/>
      <c r="X66"/>
      <c r="Y66"/>
      <c r="Z66"/>
      <c r="AA66"/>
      <c r="AB66"/>
      <c r="AC66"/>
      <c r="AD66"/>
      <c r="AE66"/>
    </row>
    <row r="67" spans="1:31" s="29" customFormat="1" x14ac:dyDescent="0.3">
      <c r="A67" s="9" t="s">
        <v>173</v>
      </c>
      <c r="B67" s="18">
        <f>B66*$C$10</f>
        <v>2880000</v>
      </c>
      <c r="C67" s="18">
        <f>C66*$C$10</f>
        <v>2880000</v>
      </c>
      <c r="D67" s="41"/>
      <c r="X67"/>
      <c r="Y67"/>
      <c r="Z67"/>
      <c r="AA67"/>
      <c r="AB67"/>
      <c r="AC67"/>
      <c r="AD67"/>
      <c r="AE67"/>
    </row>
    <row r="68" spans="1:31" s="29" customFormat="1" x14ac:dyDescent="0.3">
      <c r="A68" s="249" t="s">
        <v>24</v>
      </c>
      <c r="B68" s="249"/>
      <c r="C68" s="249"/>
      <c r="D68" s="41"/>
      <c r="X68"/>
      <c r="Y68"/>
      <c r="Z68"/>
      <c r="AA68"/>
      <c r="AB68"/>
      <c r="AC68"/>
      <c r="AD68"/>
      <c r="AE68"/>
    </row>
    <row r="69" spans="1:31" s="29" customFormat="1" x14ac:dyDescent="0.3">
      <c r="A69" s="249" t="s">
        <v>145</v>
      </c>
      <c r="B69" s="249"/>
      <c r="C69" s="249"/>
      <c r="D69" s="41"/>
      <c r="X69"/>
      <c r="Y69"/>
      <c r="Z69"/>
      <c r="AA69"/>
      <c r="AB69"/>
      <c r="AC69"/>
      <c r="AD69"/>
      <c r="AE69"/>
    </row>
    <row r="70" spans="1:31" s="29" customFormat="1" x14ac:dyDescent="0.3">
      <c r="A70" s="8" t="s">
        <v>73</v>
      </c>
      <c r="B70" s="23">
        <f>Virksomhedssetup!D53</f>
        <v>1.0732638888888888</v>
      </c>
      <c r="C70" s="23">
        <f>Virksomhedssetup!E53</f>
        <v>11.4</v>
      </c>
      <c r="D70" s="41"/>
      <c r="X70"/>
      <c r="Y70"/>
      <c r="Z70"/>
      <c r="AA70"/>
      <c r="AB70"/>
      <c r="AC70"/>
      <c r="AD70"/>
      <c r="AE70"/>
    </row>
    <row r="71" spans="1:31" s="29" customFormat="1" x14ac:dyDescent="0.3">
      <c r="A71" s="8" t="s">
        <v>45</v>
      </c>
      <c r="B71" s="17"/>
      <c r="C71" s="23">
        <f>Virksomhedssetup!E54</f>
        <v>0.11</v>
      </c>
      <c r="D71" s="41"/>
      <c r="X71"/>
      <c r="Y71"/>
      <c r="Z71"/>
      <c r="AA71"/>
      <c r="AB71"/>
      <c r="AC71"/>
      <c r="AD71"/>
      <c r="AE71"/>
    </row>
    <row r="72" spans="1:31" s="29" customFormat="1" x14ac:dyDescent="0.3">
      <c r="A72" s="5" t="s">
        <v>75</v>
      </c>
      <c r="B72" s="47" t="e">
        <f>(((C18/12)/100)*B73)*($B$30*B70)</f>
        <v>#REF!</v>
      </c>
      <c r="C72" s="17"/>
      <c r="D72" s="41"/>
      <c r="X72"/>
      <c r="Y72"/>
      <c r="Z72"/>
      <c r="AA72"/>
      <c r="AB72"/>
      <c r="AC72"/>
      <c r="AD72"/>
      <c r="AE72"/>
    </row>
    <row r="73" spans="1:31" s="29" customFormat="1" x14ac:dyDescent="0.3">
      <c r="A73" s="8" t="s">
        <v>26</v>
      </c>
      <c r="B73" s="34">
        <f>Virksomhedssetup!D56</f>
        <v>100</v>
      </c>
      <c r="C73" s="17"/>
      <c r="D73" s="41"/>
      <c r="X73"/>
      <c r="Y73"/>
      <c r="Z73"/>
      <c r="AA73"/>
      <c r="AB73"/>
      <c r="AC73"/>
      <c r="AD73"/>
      <c r="AE73"/>
    </row>
    <row r="74" spans="1:31" s="29" customFormat="1" x14ac:dyDescent="0.3">
      <c r="A74" s="8" t="s">
        <v>46</v>
      </c>
      <c r="B74" s="23">
        <f>Virksomhedssetup!D57</f>
        <v>4.22</v>
      </c>
      <c r="C74" s="17"/>
      <c r="D74" s="41"/>
      <c r="X74"/>
      <c r="Y74"/>
      <c r="Z74"/>
      <c r="AA74"/>
      <c r="AB74"/>
      <c r="AC74"/>
      <c r="AD74"/>
      <c r="AE74"/>
    </row>
    <row r="75" spans="1:31" s="29" customFormat="1" x14ac:dyDescent="0.3">
      <c r="A75" s="5" t="s">
        <v>74</v>
      </c>
      <c r="B75" s="47" t="e">
        <f>(((C18/12)/100)*(100-B73)*(B30*B74))</f>
        <v>#REF!</v>
      </c>
      <c r="C75" s="17"/>
      <c r="D75" s="41"/>
      <c r="E75"/>
      <c r="F75"/>
      <c r="G75"/>
      <c r="H75"/>
      <c r="I75"/>
      <c r="X75"/>
      <c r="Y75"/>
      <c r="Z75"/>
      <c r="AA75"/>
      <c r="AB75"/>
      <c r="AC75"/>
      <c r="AD75"/>
      <c r="AE75"/>
    </row>
    <row r="76" spans="1:31" s="29" customFormat="1" x14ac:dyDescent="0.3">
      <c r="A76" s="62" t="s">
        <v>159</v>
      </c>
      <c r="B76" s="47" t="e">
        <f>B72+B75</f>
        <v>#REF!</v>
      </c>
      <c r="C76" s="47" t="e">
        <f>((C30*C70)*($C$18/12))+($C$18/12)*C71</f>
        <v>#REF!</v>
      </c>
      <c r="D76" s="41"/>
      <c r="E76"/>
      <c r="F76"/>
      <c r="G76"/>
      <c r="H76"/>
      <c r="I76"/>
      <c r="X76"/>
      <c r="Y76"/>
      <c r="Z76"/>
      <c r="AA76"/>
      <c r="AB76"/>
      <c r="AC76"/>
      <c r="AD76"/>
      <c r="AE76"/>
    </row>
    <row r="77" spans="1:31" s="29" customFormat="1" x14ac:dyDescent="0.3">
      <c r="A77" s="249" t="s">
        <v>146</v>
      </c>
      <c r="B77" s="249"/>
      <c r="C77" s="249"/>
      <c r="D77" s="41"/>
      <c r="E77"/>
      <c r="F77"/>
      <c r="G77"/>
      <c r="H77"/>
      <c r="I77"/>
      <c r="X77"/>
      <c r="Y77"/>
      <c r="Z77"/>
      <c r="AA77"/>
      <c r="AB77"/>
      <c r="AC77"/>
      <c r="AD77"/>
      <c r="AE77"/>
    </row>
    <row r="78" spans="1:31" s="29" customFormat="1" x14ac:dyDescent="0.3">
      <c r="A78" s="8" t="s">
        <v>73</v>
      </c>
      <c r="B78" s="23" t="e">
        <f>Virksomhedssetup!#REF!</f>
        <v>#REF!</v>
      </c>
      <c r="C78" s="23" t="e">
        <f>Virksomhedssetup!#REF!</f>
        <v>#REF!</v>
      </c>
      <c r="D78" s="41"/>
      <c r="E78"/>
      <c r="F78"/>
      <c r="G78"/>
      <c r="H78"/>
      <c r="I78"/>
      <c r="X78"/>
      <c r="Y78"/>
      <c r="Z78"/>
      <c r="AA78"/>
      <c r="AB78"/>
      <c r="AC78"/>
      <c r="AD78"/>
      <c r="AE78"/>
    </row>
    <row r="79" spans="1:31" s="29" customFormat="1" x14ac:dyDescent="0.3">
      <c r="A79" s="8" t="s">
        <v>45</v>
      </c>
      <c r="B79" s="17"/>
      <c r="C79" s="23" t="e">
        <f>Virksomhedssetup!#REF!</f>
        <v>#REF!</v>
      </c>
      <c r="D79" s="41"/>
      <c r="E79"/>
      <c r="F79"/>
      <c r="G79"/>
      <c r="H79"/>
      <c r="I79"/>
      <c r="X79"/>
      <c r="Y79"/>
      <c r="Z79"/>
      <c r="AA79"/>
      <c r="AB79"/>
      <c r="AC79"/>
      <c r="AD79"/>
      <c r="AE79"/>
    </row>
    <row r="80" spans="1:31" s="29" customFormat="1" x14ac:dyDescent="0.3">
      <c r="A80" s="5" t="s">
        <v>75</v>
      </c>
      <c r="B80" s="47" t="e">
        <f>(((C20/12)/100)*B81)*(B30*B78)</f>
        <v>#REF!</v>
      </c>
      <c r="C80" s="17"/>
      <c r="D80" s="41"/>
      <c r="E80"/>
      <c r="F80"/>
      <c r="G80"/>
      <c r="H80"/>
      <c r="I80"/>
      <c r="X80"/>
      <c r="Y80"/>
      <c r="Z80"/>
      <c r="AA80"/>
      <c r="AB80"/>
      <c r="AC80"/>
      <c r="AD80"/>
      <c r="AE80"/>
    </row>
    <row r="81" spans="1:31" s="29" customFormat="1" x14ac:dyDescent="0.3">
      <c r="A81" s="8" t="s">
        <v>26</v>
      </c>
      <c r="B81" s="34" t="e">
        <f>Virksomhedssetup!#REF!</f>
        <v>#REF!</v>
      </c>
      <c r="C81" s="17"/>
      <c r="D81" s="41"/>
      <c r="E81"/>
      <c r="F81"/>
      <c r="G81"/>
      <c r="H81"/>
      <c r="I81"/>
      <c r="X81"/>
      <c r="Y81"/>
      <c r="Z81"/>
      <c r="AA81"/>
      <c r="AB81"/>
      <c r="AC81"/>
      <c r="AD81"/>
      <c r="AE81"/>
    </row>
    <row r="82" spans="1:31" s="29" customFormat="1" x14ac:dyDescent="0.3">
      <c r="A82" s="8" t="s">
        <v>46</v>
      </c>
      <c r="B82" s="23" t="e">
        <f>Virksomhedssetup!#REF!</f>
        <v>#REF!</v>
      </c>
      <c r="C82" s="17"/>
      <c r="D82" s="41"/>
      <c r="E82"/>
      <c r="F82"/>
      <c r="G82"/>
      <c r="H82"/>
      <c r="I82"/>
      <c r="X82"/>
      <c r="Y82"/>
      <c r="Z82"/>
      <c r="AA82"/>
      <c r="AB82"/>
      <c r="AC82"/>
      <c r="AD82"/>
      <c r="AE82"/>
    </row>
    <row r="83" spans="1:31" s="29" customFormat="1" x14ac:dyDescent="0.3">
      <c r="A83" s="5" t="s">
        <v>74</v>
      </c>
      <c r="B83" s="47" t="e">
        <f>(((C20/12)/100)*(100-B81)*(B30*B82))</f>
        <v>#REF!</v>
      </c>
      <c r="C83" s="17"/>
      <c r="D83" s="41"/>
      <c r="E83"/>
      <c r="F83"/>
      <c r="G83"/>
      <c r="H83"/>
      <c r="I83"/>
      <c r="X83"/>
      <c r="Y83"/>
      <c r="Z83"/>
      <c r="AA83"/>
      <c r="AB83"/>
      <c r="AC83"/>
      <c r="AD83"/>
      <c r="AE83"/>
    </row>
    <row r="84" spans="1:31" s="29" customFormat="1" x14ac:dyDescent="0.3">
      <c r="A84" s="62" t="s">
        <v>160</v>
      </c>
      <c r="B84" s="47" t="e">
        <f>B80+B83</f>
        <v>#REF!</v>
      </c>
      <c r="C84" s="47" t="e">
        <f>((C$30*C78)*($C$20/12))+($C$20/12)*C79</f>
        <v>#REF!</v>
      </c>
      <c r="D84" s="41"/>
      <c r="E84"/>
      <c r="F84"/>
      <c r="G84"/>
      <c r="H84"/>
      <c r="I84"/>
      <c r="X84"/>
      <c r="Y84"/>
      <c r="Z84"/>
      <c r="AA84"/>
      <c r="AB84"/>
      <c r="AC84"/>
      <c r="AD84"/>
      <c r="AE84"/>
    </row>
    <row r="85" spans="1:31" s="29" customFormat="1" x14ac:dyDescent="0.3">
      <c r="A85" s="249" t="s">
        <v>147</v>
      </c>
      <c r="B85" s="249"/>
      <c r="C85" s="249"/>
      <c r="D85" s="41"/>
      <c r="E85"/>
      <c r="F85"/>
      <c r="G85"/>
      <c r="H85"/>
      <c r="I85"/>
      <c r="X85"/>
      <c r="Y85"/>
      <c r="Z85"/>
      <c r="AA85"/>
      <c r="AB85"/>
      <c r="AC85"/>
      <c r="AD85"/>
      <c r="AE85"/>
    </row>
    <row r="86" spans="1:31" s="29" customFormat="1" x14ac:dyDescent="0.3">
      <c r="A86" s="8" t="s">
        <v>73</v>
      </c>
      <c r="B86" s="23" t="e">
        <f>Virksomhedssetup!#REF!</f>
        <v>#REF!</v>
      </c>
      <c r="C86" s="23" t="e">
        <f>Virksomhedssetup!#REF!</f>
        <v>#REF!</v>
      </c>
      <c r="D86" s="41"/>
      <c r="E86"/>
      <c r="F86"/>
      <c r="G86"/>
      <c r="H86"/>
      <c r="I86"/>
      <c r="X86"/>
      <c r="Y86"/>
      <c r="Z86"/>
      <c r="AA86"/>
      <c r="AB86"/>
      <c r="AC86"/>
      <c r="AD86"/>
      <c r="AE86"/>
    </row>
    <row r="87" spans="1:31" s="29" customFormat="1" x14ac:dyDescent="0.3">
      <c r="A87" s="8" t="s">
        <v>45</v>
      </c>
      <c r="B87" s="17"/>
      <c r="C87" s="23" t="e">
        <f>Virksomhedssetup!#REF!</f>
        <v>#REF!</v>
      </c>
      <c r="D87" s="41"/>
      <c r="E87"/>
      <c r="F87"/>
      <c r="G87"/>
      <c r="H87"/>
      <c r="I87"/>
      <c r="X87"/>
      <c r="Y87"/>
      <c r="Z87"/>
      <c r="AA87"/>
      <c r="AB87"/>
      <c r="AC87"/>
      <c r="AD87"/>
      <c r="AE87"/>
    </row>
    <row r="88" spans="1:31" s="29" customFormat="1" x14ac:dyDescent="0.3">
      <c r="A88" s="5" t="s">
        <v>75</v>
      </c>
      <c r="B88" s="47" t="e">
        <f>(((C22/12)/100)*B89)*(B30*B86)</f>
        <v>#REF!</v>
      </c>
      <c r="C88" s="17"/>
      <c r="D88" s="41"/>
      <c r="E88"/>
      <c r="F88"/>
      <c r="G88"/>
      <c r="H88"/>
      <c r="I88"/>
      <c r="X88"/>
      <c r="Y88"/>
      <c r="Z88"/>
      <c r="AA88"/>
      <c r="AB88"/>
      <c r="AC88"/>
      <c r="AD88"/>
      <c r="AE88"/>
    </row>
    <row r="89" spans="1:31" s="29" customFormat="1" x14ac:dyDescent="0.3">
      <c r="A89" s="8" t="s">
        <v>26</v>
      </c>
      <c r="B89" s="34" t="e">
        <f>Virksomhedssetup!#REF!</f>
        <v>#REF!</v>
      </c>
      <c r="C89" s="17"/>
      <c r="D89" s="41"/>
      <c r="E89"/>
      <c r="F89"/>
      <c r="G89"/>
      <c r="H89"/>
      <c r="I89"/>
      <c r="X89"/>
      <c r="Y89"/>
      <c r="Z89"/>
      <c r="AA89"/>
      <c r="AB89"/>
      <c r="AC89"/>
      <c r="AD89"/>
      <c r="AE89"/>
    </row>
    <row r="90" spans="1:31" s="29" customFormat="1" x14ac:dyDescent="0.3">
      <c r="A90" s="8" t="s">
        <v>46</v>
      </c>
      <c r="B90" s="23" t="e">
        <f>Virksomhedssetup!#REF!</f>
        <v>#REF!</v>
      </c>
      <c r="C90" s="17"/>
      <c r="D90" s="41"/>
      <c r="E90"/>
      <c r="F90"/>
      <c r="G90"/>
      <c r="H90"/>
      <c r="I90"/>
      <c r="X90"/>
      <c r="Y90"/>
      <c r="Z90"/>
      <c r="AA90"/>
      <c r="AB90"/>
      <c r="AC90"/>
      <c r="AD90"/>
      <c r="AE90"/>
    </row>
    <row r="91" spans="1:31" s="29" customFormat="1" x14ac:dyDescent="0.3">
      <c r="A91" s="5" t="s">
        <v>74</v>
      </c>
      <c r="B91" s="47" t="e">
        <f>(((C22/12)/100)*(100-B89)*(B30*B90))</f>
        <v>#REF!</v>
      </c>
      <c r="C91" s="17"/>
      <c r="D91" s="41"/>
      <c r="E91"/>
      <c r="F91"/>
      <c r="G91"/>
      <c r="H91"/>
      <c r="I91"/>
      <c r="X91"/>
      <c r="Y91"/>
      <c r="Z91"/>
      <c r="AA91"/>
      <c r="AB91"/>
      <c r="AC91"/>
      <c r="AD91"/>
      <c r="AE91"/>
    </row>
    <row r="92" spans="1:31" s="29" customFormat="1" x14ac:dyDescent="0.3">
      <c r="A92" s="62" t="s">
        <v>161</v>
      </c>
      <c r="B92" s="47" t="e">
        <f>B88+B91</f>
        <v>#REF!</v>
      </c>
      <c r="C92" s="47" t="e">
        <f>((C$30*C86)*($C$22/12))+($C$22/12)*C87</f>
        <v>#REF!</v>
      </c>
      <c r="D92" s="41"/>
      <c r="E92"/>
      <c r="F92"/>
      <c r="G92"/>
      <c r="H92"/>
      <c r="I92"/>
      <c r="X92"/>
      <c r="Y92"/>
      <c r="Z92"/>
      <c r="AA92"/>
      <c r="AB92"/>
      <c r="AC92"/>
      <c r="AD92"/>
      <c r="AE92"/>
    </row>
    <row r="93" spans="1:31" s="29" customFormat="1" x14ac:dyDescent="0.3">
      <c r="A93" s="249" t="s">
        <v>148</v>
      </c>
      <c r="B93" s="249"/>
      <c r="C93" s="249"/>
      <c r="D93" s="41"/>
      <c r="E93"/>
      <c r="F93"/>
      <c r="G93"/>
      <c r="H93"/>
      <c r="I93"/>
      <c r="X93"/>
      <c r="Y93"/>
      <c r="Z93"/>
      <c r="AA93"/>
      <c r="AB93"/>
      <c r="AC93"/>
      <c r="AD93"/>
      <c r="AE93"/>
    </row>
    <row r="94" spans="1:31" s="29" customFormat="1" x14ac:dyDescent="0.3">
      <c r="A94" s="8" t="s">
        <v>73</v>
      </c>
      <c r="B94" s="23" t="e">
        <f>Virksomhedssetup!#REF!</f>
        <v>#REF!</v>
      </c>
      <c r="C94" s="23" t="e">
        <f>Virksomhedssetup!#REF!</f>
        <v>#REF!</v>
      </c>
      <c r="D94" s="41"/>
      <c r="E94"/>
      <c r="F94"/>
      <c r="G94"/>
      <c r="H94"/>
      <c r="I94"/>
      <c r="X94"/>
      <c r="Y94"/>
      <c r="Z94"/>
      <c r="AA94"/>
      <c r="AB94"/>
      <c r="AC94"/>
      <c r="AD94"/>
      <c r="AE94"/>
    </row>
    <row r="95" spans="1:31" s="29" customFormat="1" x14ac:dyDescent="0.3">
      <c r="A95" s="8" t="s">
        <v>45</v>
      </c>
      <c r="B95" s="17"/>
      <c r="C95" s="23" t="e">
        <f>Virksomhedssetup!#REF!</f>
        <v>#REF!</v>
      </c>
      <c r="D95" s="41"/>
      <c r="E95"/>
      <c r="F95"/>
      <c r="G95"/>
      <c r="H95"/>
      <c r="I95"/>
      <c r="X95"/>
      <c r="Y95"/>
      <c r="Z95"/>
      <c r="AA95"/>
      <c r="AB95"/>
      <c r="AC95"/>
      <c r="AD95"/>
      <c r="AE95"/>
    </row>
    <row r="96" spans="1:31" s="29" customFormat="1" x14ac:dyDescent="0.3">
      <c r="A96" s="5" t="s">
        <v>75</v>
      </c>
      <c r="B96" s="47" t="e">
        <f>(((C24/12)/100)*B97)*(B30*B94)</f>
        <v>#REF!</v>
      </c>
      <c r="C96" s="17"/>
      <c r="D96" s="41"/>
      <c r="E96"/>
      <c r="F96"/>
      <c r="G96"/>
      <c r="H96"/>
      <c r="I96"/>
      <c r="X96"/>
      <c r="Y96"/>
      <c r="Z96"/>
      <c r="AA96"/>
      <c r="AB96"/>
      <c r="AC96"/>
      <c r="AD96"/>
      <c r="AE96"/>
    </row>
    <row r="97" spans="1:31" s="29" customFormat="1" x14ac:dyDescent="0.3">
      <c r="A97" s="8" t="s">
        <v>26</v>
      </c>
      <c r="B97" s="59" t="e">
        <f>Virksomhedssetup!#REF!</f>
        <v>#REF!</v>
      </c>
      <c r="C97" s="17"/>
      <c r="D97" s="41"/>
      <c r="E97"/>
      <c r="F97"/>
      <c r="G97"/>
      <c r="H97"/>
      <c r="I97"/>
      <c r="X97"/>
      <c r="Y97"/>
      <c r="Z97"/>
      <c r="AA97"/>
      <c r="AB97"/>
      <c r="AC97"/>
      <c r="AD97"/>
      <c r="AE97"/>
    </row>
    <row r="98" spans="1:31" s="29" customFormat="1" x14ac:dyDescent="0.3">
      <c r="A98" s="8" t="s">
        <v>46</v>
      </c>
      <c r="B98" s="23" t="e">
        <f>Virksomhedssetup!#REF!</f>
        <v>#REF!</v>
      </c>
      <c r="C98" s="17"/>
      <c r="D98" s="41"/>
      <c r="E98"/>
      <c r="F98"/>
      <c r="G98"/>
      <c r="H98"/>
      <c r="I98"/>
      <c r="X98"/>
      <c r="Y98"/>
      <c r="Z98"/>
      <c r="AA98"/>
      <c r="AB98"/>
      <c r="AC98"/>
      <c r="AD98"/>
      <c r="AE98"/>
    </row>
    <row r="99" spans="1:31" s="29" customFormat="1" x14ac:dyDescent="0.3">
      <c r="A99" s="5" t="s">
        <v>74</v>
      </c>
      <c r="B99" s="47" t="e">
        <f>(((C24/12)/100)*(100-B97)*(B30*B98))</f>
        <v>#REF!</v>
      </c>
      <c r="C99" s="17"/>
      <c r="D99" s="41"/>
      <c r="E99"/>
      <c r="F99"/>
      <c r="G99"/>
      <c r="H99"/>
      <c r="I99"/>
      <c r="X99"/>
      <c r="Y99"/>
      <c r="Z99"/>
      <c r="AA99"/>
      <c r="AB99"/>
      <c r="AC99"/>
      <c r="AD99"/>
      <c r="AE99"/>
    </row>
    <row r="100" spans="1:31" s="29" customFormat="1" x14ac:dyDescent="0.3">
      <c r="A100" s="62" t="s">
        <v>158</v>
      </c>
      <c r="B100" s="47" t="e">
        <f>B96+B99</f>
        <v>#REF!</v>
      </c>
      <c r="C100" s="47" t="e">
        <f>((C$30*C94)*($C$24/12))+($C$24/12)*C95</f>
        <v>#REF!</v>
      </c>
      <c r="D100" s="41"/>
      <c r="E100"/>
      <c r="F100"/>
      <c r="G100"/>
      <c r="H100"/>
      <c r="I100"/>
      <c r="X100"/>
      <c r="Y100"/>
      <c r="Z100"/>
      <c r="AA100"/>
      <c r="AB100"/>
      <c r="AC100"/>
      <c r="AD100"/>
      <c r="AE100"/>
    </row>
    <row r="101" spans="1:31" s="29" customFormat="1" x14ac:dyDescent="0.3">
      <c r="A101" s="9" t="s">
        <v>76</v>
      </c>
      <c r="B101" s="18" t="e">
        <f>B76+B84+B92+B100</f>
        <v>#REF!</v>
      </c>
      <c r="C101" s="18" t="e">
        <f>C76+C84+C92+C100</f>
        <v>#REF!</v>
      </c>
      <c r="D101" s="41"/>
      <c r="X101"/>
      <c r="Y101"/>
      <c r="Z101"/>
      <c r="AA101"/>
      <c r="AB101"/>
      <c r="AC101"/>
      <c r="AD101"/>
      <c r="AE101"/>
    </row>
    <row r="102" spans="1:31" s="29" customFormat="1" x14ac:dyDescent="0.3">
      <c r="A102" s="9" t="s">
        <v>77</v>
      </c>
      <c r="B102" s="18" t="e">
        <f>B101*12</f>
        <v>#REF!</v>
      </c>
      <c r="C102" s="18" t="e">
        <f>C101*12</f>
        <v>#REF!</v>
      </c>
      <c r="D102" s="41"/>
      <c r="E102" s="41"/>
      <c r="F102" s="41"/>
      <c r="G102" s="41"/>
      <c r="H102" s="41"/>
      <c r="I102" s="41"/>
      <c r="X102"/>
      <c r="Y102"/>
      <c r="Z102"/>
      <c r="AA102"/>
      <c r="AB102"/>
      <c r="AC102"/>
      <c r="AD102"/>
      <c r="AE102"/>
    </row>
    <row r="103" spans="1:31" s="29" customFormat="1" x14ac:dyDescent="0.3">
      <c r="A103" s="9" t="s">
        <v>78</v>
      </c>
      <c r="B103" s="18" t="e">
        <f>B102*C10</f>
        <v>#REF!</v>
      </c>
      <c r="C103" s="18" t="e">
        <f>C102*C10</f>
        <v>#REF!</v>
      </c>
      <c r="D103" s="41"/>
      <c r="E103" s="41"/>
      <c r="F103" s="41"/>
      <c r="G103" s="41"/>
      <c r="H103" s="41"/>
      <c r="I103" s="41"/>
      <c r="X103"/>
      <c r="Y103"/>
      <c r="Z103"/>
      <c r="AA103"/>
      <c r="AB103"/>
      <c r="AC103"/>
      <c r="AD103"/>
      <c r="AE103"/>
    </row>
    <row r="104" spans="1:31" s="29" customFormat="1" x14ac:dyDescent="0.3">
      <c r="A104" s="249" t="s">
        <v>25</v>
      </c>
      <c r="B104" s="249"/>
      <c r="C104" s="249"/>
      <c r="D104" s="41"/>
      <c r="E104" s="41"/>
      <c r="F104" s="41"/>
      <c r="G104" s="41"/>
      <c r="H104" s="41"/>
      <c r="I104" s="41"/>
      <c r="X104"/>
      <c r="Y104"/>
      <c r="Z104"/>
      <c r="AA104"/>
      <c r="AB104"/>
      <c r="AC104"/>
      <c r="AD104"/>
      <c r="AE104"/>
    </row>
    <row r="105" spans="1:31" s="29" customFormat="1" x14ac:dyDescent="0.3">
      <c r="A105" s="8" t="s">
        <v>88</v>
      </c>
      <c r="B105" s="16">
        <f>Virksomhedssetup!D61</f>
        <v>7685</v>
      </c>
      <c r="C105" s="16">
        <f>Virksomhedssetup!E61</f>
        <v>5000</v>
      </c>
      <c r="D105" s="41"/>
      <c r="E105" s="41"/>
      <c r="F105" s="41"/>
      <c r="G105" s="41"/>
      <c r="H105" s="41"/>
      <c r="I105" s="41"/>
      <c r="X105"/>
      <c r="Y105"/>
      <c r="Z105"/>
      <c r="AA105"/>
      <c r="AB105"/>
      <c r="AC105"/>
      <c r="AD105"/>
      <c r="AE105"/>
    </row>
    <row r="106" spans="1:31" s="29" customFormat="1" x14ac:dyDescent="0.3">
      <c r="A106" s="8" t="s">
        <v>89</v>
      </c>
      <c r="B106" s="38">
        <f>Virksomhedssetup!D62</f>
        <v>1.4999999999999999E-2</v>
      </c>
      <c r="C106" s="38">
        <f>Virksomhedssetup!E62</f>
        <v>1.4999999999999999E-2</v>
      </c>
      <c r="D106"/>
      <c r="E106"/>
      <c r="F106"/>
      <c r="G106"/>
      <c r="H106"/>
      <c r="I106"/>
      <c r="X106"/>
      <c r="Y106"/>
      <c r="Z106"/>
      <c r="AA106"/>
      <c r="AB106"/>
      <c r="AC106"/>
      <c r="AD106"/>
      <c r="AE106"/>
    </row>
    <row r="107" spans="1:31" s="29" customFormat="1" x14ac:dyDescent="0.3">
      <c r="A107" s="8" t="s">
        <v>34</v>
      </c>
      <c r="B107" s="14">
        <f>Virksomhedssetup!D63</f>
        <v>8</v>
      </c>
      <c r="C107" s="14">
        <f>Virksomhedssetup!E63</f>
        <v>8</v>
      </c>
      <c r="D107"/>
      <c r="E107"/>
      <c r="F107"/>
      <c r="G107"/>
      <c r="H107"/>
      <c r="I107"/>
      <c r="X107"/>
      <c r="Y107"/>
      <c r="Z107"/>
      <c r="AA107"/>
      <c r="AB107"/>
      <c r="AC107"/>
      <c r="AD107"/>
      <c r="AE107"/>
    </row>
    <row r="108" spans="1:31" s="29" customFormat="1" x14ac:dyDescent="0.3">
      <c r="A108" s="5" t="s">
        <v>90</v>
      </c>
      <c r="B108" s="47">
        <f>(B106*B107)*C11</f>
        <v>900</v>
      </c>
      <c r="C108" s="47">
        <f>(C106*C107)*C11</f>
        <v>900</v>
      </c>
      <c r="D108"/>
      <c r="E108"/>
      <c r="F108"/>
      <c r="G108"/>
      <c r="H108"/>
      <c r="I108"/>
      <c r="X108"/>
      <c r="Y108"/>
      <c r="Z108"/>
      <c r="AA108"/>
      <c r="AB108"/>
      <c r="AC108"/>
      <c r="AD108"/>
      <c r="AE108"/>
    </row>
    <row r="109" spans="1:31" s="29" customFormat="1" x14ac:dyDescent="0.3">
      <c r="A109" s="8" t="s">
        <v>91</v>
      </c>
      <c r="B109" s="16">
        <f>Virksomhedssetup!D65</f>
        <v>1476</v>
      </c>
      <c r="C109" s="16">
        <f>Virksomhedssetup!E65</f>
        <v>768</v>
      </c>
      <c r="D109"/>
      <c r="E109"/>
      <c r="F109"/>
      <c r="G109"/>
      <c r="H109"/>
      <c r="I109"/>
      <c r="X109"/>
      <c r="Y109"/>
      <c r="Z109"/>
      <c r="AA109"/>
      <c r="AB109"/>
      <c r="AC109"/>
      <c r="AD109"/>
      <c r="AE109"/>
    </row>
    <row r="110" spans="1:31" ht="16.2" x14ac:dyDescent="0.3">
      <c r="A110" s="9" t="s">
        <v>84</v>
      </c>
      <c r="B110" s="19">
        <f>B105+B109+B108</f>
        <v>10061</v>
      </c>
      <c r="C110" s="19">
        <f>C105+C109+C108</f>
        <v>6668</v>
      </c>
    </row>
    <row r="111" spans="1:31" ht="16.2" x14ac:dyDescent="0.3">
      <c r="A111" s="9" t="s">
        <v>85</v>
      </c>
      <c r="B111" s="19">
        <f>B110*12</f>
        <v>120732</v>
      </c>
      <c r="C111" s="19">
        <f>C110*12</f>
        <v>80016</v>
      </c>
    </row>
    <row r="112" spans="1:31" ht="16.2" x14ac:dyDescent="0.3">
      <c r="A112" s="9" t="s">
        <v>86</v>
      </c>
      <c r="B112" s="19">
        <f>B111*$C$10</f>
        <v>965856</v>
      </c>
      <c r="C112" s="19">
        <f>C111*$C$10</f>
        <v>640128</v>
      </c>
    </row>
    <row r="113" spans="1:31" x14ac:dyDescent="0.3">
      <c r="A113" s="249" t="s">
        <v>175</v>
      </c>
      <c r="B113" s="249"/>
      <c r="C113" s="249"/>
    </row>
    <row r="114" spans="1:31" ht="16.2" x14ac:dyDescent="0.45">
      <c r="A114" s="9" t="s">
        <v>47</v>
      </c>
      <c r="B114" s="40">
        <f>G31*$C$11</f>
        <v>2506.1339689287011</v>
      </c>
      <c r="C114" s="40">
        <f>G32*$C$11</f>
        <v>9440.2957738027435</v>
      </c>
    </row>
    <row r="115" spans="1:31" ht="16.2" x14ac:dyDescent="0.45">
      <c r="A115" s="9" t="s">
        <v>48</v>
      </c>
      <c r="B115" s="40">
        <f>B114*12</f>
        <v>30073.607627144411</v>
      </c>
      <c r="C115" s="40">
        <f>C114*12</f>
        <v>113283.54928563292</v>
      </c>
    </row>
    <row r="116" spans="1:31" ht="16.2" x14ac:dyDescent="0.45">
      <c r="A116" s="9" t="s">
        <v>79</v>
      </c>
      <c r="B116" s="40">
        <f>B115*$C$10</f>
        <v>240588.86101715529</v>
      </c>
      <c r="C116" s="40">
        <f>C115*$C$10</f>
        <v>906268.39428506338</v>
      </c>
    </row>
    <row r="117" spans="1:31" x14ac:dyDescent="0.3">
      <c r="A117" s="297" t="s">
        <v>33</v>
      </c>
      <c r="B117" s="297"/>
      <c r="C117" s="297"/>
    </row>
    <row r="118" spans="1:31" x14ac:dyDescent="0.3">
      <c r="A118" s="9" t="s">
        <v>49</v>
      </c>
      <c r="B118" s="18" t="e">
        <f t="shared" ref="B118:C120" si="0">B46+B55+B65+B101+B110+B114</f>
        <v>#REF!</v>
      </c>
      <c r="C118" s="18" t="e">
        <f t="shared" si="0"/>
        <v>#REF!</v>
      </c>
      <c r="AE118" s="29"/>
    </row>
    <row r="119" spans="1:31" x14ac:dyDescent="0.3">
      <c r="A119" s="9" t="s">
        <v>50</v>
      </c>
      <c r="B119" s="18" t="e">
        <f t="shared" si="0"/>
        <v>#REF!</v>
      </c>
      <c r="C119" s="18" t="e">
        <f t="shared" si="0"/>
        <v>#REF!</v>
      </c>
    </row>
    <row r="120" spans="1:31" x14ac:dyDescent="0.3">
      <c r="A120" s="9" t="s">
        <v>69</v>
      </c>
      <c r="B120" s="18" t="e">
        <f t="shared" si="0"/>
        <v>#REF!</v>
      </c>
      <c r="C120" s="18" t="e">
        <f t="shared" si="0"/>
        <v>#REF!</v>
      </c>
    </row>
    <row r="122" spans="1:31" x14ac:dyDescent="0.3">
      <c r="B122" s="81"/>
    </row>
    <row r="128" spans="1:31" x14ac:dyDescent="0.3">
      <c r="D128" s="36"/>
    </row>
    <row r="131" spans="5:5" x14ac:dyDescent="0.3">
      <c r="E131" s="10"/>
    </row>
  </sheetData>
  <mergeCells count="55">
    <mergeCell ref="A117:C117"/>
    <mergeCell ref="A69:C69"/>
    <mergeCell ref="A77:C77"/>
    <mergeCell ref="A85:C85"/>
    <mergeCell ref="A93:C93"/>
    <mergeCell ref="A104:C104"/>
    <mergeCell ref="A113:C113"/>
    <mergeCell ref="A68:C68"/>
    <mergeCell ref="A23:B23"/>
    <mergeCell ref="F23:G23"/>
    <mergeCell ref="A24:B24"/>
    <mergeCell ref="F24:G24"/>
    <mergeCell ref="A26:C26"/>
    <mergeCell ref="E27:E29"/>
    <mergeCell ref="A35:C35"/>
    <mergeCell ref="A36:C36"/>
    <mergeCell ref="A49:C49"/>
    <mergeCell ref="A58:C58"/>
    <mergeCell ref="A59:C59"/>
    <mergeCell ref="A19:B19"/>
    <mergeCell ref="A20:B20"/>
    <mergeCell ref="A21:B21"/>
    <mergeCell ref="E21:H21"/>
    <mergeCell ref="A22:B22"/>
    <mergeCell ref="F22:G22"/>
    <mergeCell ref="A16:C16"/>
    <mergeCell ref="E16:G16"/>
    <mergeCell ref="A17:B17"/>
    <mergeCell ref="E17:G17"/>
    <mergeCell ref="A18:B18"/>
    <mergeCell ref="E18:G18"/>
    <mergeCell ref="E15:G15"/>
    <mergeCell ref="E8:G8"/>
    <mergeCell ref="A9:B9"/>
    <mergeCell ref="E9:G9"/>
    <mergeCell ref="A10:B10"/>
    <mergeCell ref="E10:G10"/>
    <mergeCell ref="A11:B11"/>
    <mergeCell ref="A12:B12"/>
    <mergeCell ref="A13:B13"/>
    <mergeCell ref="E13:H13"/>
    <mergeCell ref="A14:B14"/>
    <mergeCell ref="E14:H14"/>
    <mergeCell ref="A5:B5"/>
    <mergeCell ref="E5:G5"/>
    <mergeCell ref="A6:B6"/>
    <mergeCell ref="E6:H6"/>
    <mergeCell ref="A7:B7"/>
    <mergeCell ref="E7:G7"/>
    <mergeCell ref="A1:C1"/>
    <mergeCell ref="E1:H1"/>
    <mergeCell ref="E2:H2"/>
    <mergeCell ref="A3:C3"/>
    <mergeCell ref="A4:B4"/>
    <mergeCell ref="E4:H4"/>
  </mergeCells>
  <conditionalFormatting sqref="F24:H24">
    <cfRule type="colorScale" priority="1">
      <colorScale>
        <cfvo type="min"/>
        <cfvo type="percentile" val="50"/>
        <cfvo type="max"/>
        <color rgb="FF63BE7B"/>
        <color rgb="FFFFEB84"/>
        <color rgb="FFF8696B"/>
      </colorScale>
    </cfRule>
  </conditionalFormatting>
  <conditionalFormatting sqref="H7">
    <cfRule type="colorScale" priority="3">
      <colorScale>
        <cfvo type="min"/>
        <cfvo type="num" val="0"/>
        <cfvo type="max"/>
        <color rgb="FFFF0000"/>
        <color theme="0"/>
        <color rgb="FF00B050"/>
      </colorScale>
    </cfRule>
    <cfRule type="colorScale" priority="4">
      <colorScale>
        <cfvo type="min"/>
        <cfvo type="num" val="0"/>
        <cfvo type="max"/>
        <color rgb="FFFF0000"/>
        <color rgb="FFFFEB84"/>
        <color rgb="FF00B050"/>
      </colorScale>
    </cfRule>
    <cfRule type="colorScale" priority="5">
      <colorScale>
        <cfvo type="min"/>
        <cfvo type="num" val="0"/>
        <cfvo type="max"/>
        <color rgb="FFFF0000"/>
        <color theme="0"/>
        <color rgb="FF00B050"/>
      </colorScale>
    </cfRule>
  </conditionalFormatting>
  <conditionalFormatting sqref="H8:H10">
    <cfRule type="colorScale" priority="6">
      <colorScale>
        <cfvo type="num" val="-1"/>
        <cfvo type="num" val="0"/>
        <cfvo type="num" val="1"/>
        <color rgb="FFFF0000"/>
        <color rgb="FFFFFF00"/>
        <color rgb="FF00B050"/>
      </colorScale>
    </cfRule>
    <cfRule type="colorScale" priority="7">
      <colorScale>
        <cfvo type="min"/>
        <cfvo type="num" val="0"/>
        <cfvo type="max"/>
        <color rgb="FFFF0000"/>
        <color rgb="FFFFFF00"/>
        <color rgb="FF00B050"/>
      </colorScale>
    </cfRule>
  </conditionalFormatting>
  <conditionalFormatting sqref="H23 F23">
    <cfRule type="colorScale" priority="2">
      <colorScale>
        <cfvo type="min"/>
        <cfvo type="percentile" val="50"/>
        <cfvo type="max"/>
        <color rgb="FF63BE7B"/>
        <color rgb="FFFFEB84"/>
        <color rgb="FFF8696B"/>
      </colorScale>
    </cfRule>
  </conditionalFormatting>
  <hyperlinks>
    <hyperlink ref="E2" r:id="rId1" display="Har du spørgsmål til beregningen kan du henvende dig til lucas.perkild@regionh.dk" xr:uid="{60C9AD00-0F2C-4B7A-8E36-26E360F5B8F7}"/>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C1D2-B14C-4591-86A0-E34000F19F60}">
  <sheetPr codeName="Sheet9">
    <tabColor rgb="FFFFC000"/>
  </sheetPr>
  <dimension ref="B2:AF112"/>
  <sheetViews>
    <sheetView showGridLines="0" zoomScaleNormal="100" workbookViewId="0">
      <selection activeCell="C20" sqref="C20"/>
    </sheetView>
  </sheetViews>
  <sheetFormatPr defaultColWidth="8.88671875" defaultRowHeight="14.4" x14ac:dyDescent="0.3"/>
  <cols>
    <col min="1" max="1" width="2.33203125"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1.109375" bestFit="1" customWidth="1"/>
    <col min="11" max="24" width="8.88671875" style="29"/>
  </cols>
  <sheetData>
    <row r="2" spans="2:19" ht="25.8" x14ac:dyDescent="0.5">
      <c r="B2" s="279" t="s">
        <v>93</v>
      </c>
      <c r="C2" s="280"/>
      <c r="D2" s="281"/>
      <c r="E2" s="6"/>
      <c r="F2" s="237" t="s">
        <v>6</v>
      </c>
      <c r="G2" s="237"/>
      <c r="H2" s="237"/>
      <c r="I2" s="237"/>
      <c r="P2" s="28" t="s">
        <v>80</v>
      </c>
      <c r="Q2" s="28"/>
      <c r="R2" s="28"/>
      <c r="S2" s="28"/>
    </row>
    <row r="3" spans="2:19" x14ac:dyDescent="0.3">
      <c r="F3" s="282" t="s">
        <v>176</v>
      </c>
      <c r="G3" s="282"/>
      <c r="H3" s="282"/>
      <c r="I3" s="282"/>
      <c r="P3" s="28" t="s">
        <v>19</v>
      </c>
      <c r="Q3" s="28"/>
      <c r="R3" s="28"/>
      <c r="S3" s="28" t="s">
        <v>81</v>
      </c>
    </row>
    <row r="4" spans="2:19" ht="18" x14ac:dyDescent="0.35">
      <c r="B4" s="283" t="s">
        <v>3</v>
      </c>
      <c r="C4" s="284"/>
      <c r="D4" s="285"/>
      <c r="P4" s="117" t="s">
        <v>87</v>
      </c>
      <c r="Q4" s="117"/>
      <c r="R4" s="117"/>
      <c r="S4" s="117"/>
    </row>
    <row r="5" spans="2:19" x14ac:dyDescent="0.3">
      <c r="B5" s="276" t="s">
        <v>68</v>
      </c>
      <c r="C5" s="278"/>
      <c r="D5" s="2"/>
      <c r="F5" s="244" t="s">
        <v>237</v>
      </c>
      <c r="G5" s="245"/>
      <c r="H5" s="245"/>
      <c r="I5" s="246"/>
      <c r="P5" s="118" t="s">
        <v>67</v>
      </c>
      <c r="Q5" s="118"/>
      <c r="R5" s="118"/>
      <c r="S5" s="58">
        <f>(H42+I42+F46+G46+H46)-(H41+I41+F45+G45+H45)</f>
        <v>-1.4803036387434378</v>
      </c>
    </row>
    <row r="6" spans="2:19" ht="16.2" x14ac:dyDescent="0.45">
      <c r="B6" s="276" t="s">
        <v>4</v>
      </c>
      <c r="C6" s="278"/>
      <c r="D6" s="4"/>
      <c r="F6" s="20"/>
      <c r="G6" s="244" t="s">
        <v>114</v>
      </c>
      <c r="H6" s="246"/>
      <c r="I6" s="28" t="s">
        <v>15</v>
      </c>
      <c r="P6" s="118" t="s">
        <v>49</v>
      </c>
      <c r="Q6" s="118"/>
      <c r="R6" s="118"/>
      <c r="S6" s="43">
        <f>$D$86-$C$86</f>
        <v>-11102.277290575788</v>
      </c>
    </row>
    <row r="7" spans="2:19" ht="16.2" x14ac:dyDescent="0.45">
      <c r="B7" s="276" t="s">
        <v>5</v>
      </c>
      <c r="C7" s="278"/>
      <c r="D7" s="8"/>
      <c r="E7" s="3"/>
      <c r="F7" s="94" t="s">
        <v>30</v>
      </c>
      <c r="G7" s="305">
        <f>(H41+I41+J41+F45+G45+H45)</f>
        <v>11.570679590792661</v>
      </c>
      <c r="H7" s="306"/>
      <c r="I7" s="104">
        <f>(H42+I42+J42+F46+G46+H46)</f>
        <v>10.090375952049223</v>
      </c>
      <c r="P7" s="118" t="s">
        <v>50</v>
      </c>
      <c r="Q7" s="118"/>
      <c r="R7" s="118"/>
      <c r="S7" s="43">
        <f>$D$87-$C$87</f>
        <v>-133227.32748690958</v>
      </c>
    </row>
    <row r="8" spans="2:19" ht="16.2" x14ac:dyDescent="0.45">
      <c r="B8" s="276" t="s">
        <v>23</v>
      </c>
      <c r="C8" s="278"/>
      <c r="D8" s="5"/>
      <c r="E8" s="7"/>
      <c r="F8" s="94" t="s">
        <v>236</v>
      </c>
      <c r="G8" s="305">
        <f>H45</f>
        <v>0.17710363927279796</v>
      </c>
      <c r="H8" s="306"/>
      <c r="I8" s="104">
        <f>H46</f>
        <v>0.15522723081846143</v>
      </c>
      <c r="P8" s="118" t="s">
        <v>69</v>
      </c>
      <c r="Q8" s="118"/>
      <c r="R8" s="118"/>
      <c r="S8" s="43">
        <f>$D$88-$C$88</f>
        <v>-1065818.6198952766</v>
      </c>
    </row>
    <row r="9" spans="2:19" x14ac:dyDescent="0.3">
      <c r="F9" s="94" t="s">
        <v>223</v>
      </c>
      <c r="G9" s="307">
        <f>(G8/G7)*100</f>
        <v>1.5306243499623629</v>
      </c>
      <c r="H9" s="308"/>
      <c r="I9" s="133">
        <f>(I8/I7)*100</f>
        <v>1.5383691505264163</v>
      </c>
      <c r="P9"/>
      <c r="Q9"/>
      <c r="R9"/>
      <c r="S9"/>
    </row>
    <row r="10" spans="2:19" x14ac:dyDescent="0.3">
      <c r="F10" s="94" t="s">
        <v>232</v>
      </c>
      <c r="G10" s="300">
        <f>H45/((H41+I41+J41+F45+G45))*100</f>
        <v>1.5544166293916963</v>
      </c>
      <c r="H10" s="301"/>
      <c r="I10" s="133">
        <f>H46/(H42+I42+J42+F46+G46)*100</f>
        <v>1.5624047024756762</v>
      </c>
      <c r="P10"/>
      <c r="Q10"/>
      <c r="R10"/>
      <c r="S10"/>
    </row>
    <row r="11" spans="2:19" x14ac:dyDescent="0.3">
      <c r="B11" s="298" t="s">
        <v>10</v>
      </c>
      <c r="C11" s="299"/>
      <c r="D11" s="69">
        <f>Virksomhedssetup!E10</f>
        <v>90000</v>
      </c>
      <c r="P11" s="128" t="s">
        <v>20</v>
      </c>
      <c r="Q11" s="129"/>
      <c r="R11" s="129"/>
      <c r="S11" s="130"/>
    </row>
    <row r="12" spans="2:19" x14ac:dyDescent="0.3">
      <c r="B12" s="298" t="s">
        <v>71</v>
      </c>
      <c r="C12" s="299"/>
      <c r="D12" s="69">
        <f>Virksomhedssetup!E11</f>
        <v>8</v>
      </c>
      <c r="P12" s="120" t="s">
        <v>82</v>
      </c>
      <c r="Q12" s="121"/>
      <c r="R12" s="121"/>
      <c r="S12" s="122"/>
    </row>
    <row r="13" spans="2:19" x14ac:dyDescent="0.3">
      <c r="B13" s="298" t="s">
        <v>128</v>
      </c>
      <c r="C13" s="299"/>
      <c r="D13" s="69">
        <f>Virksomhedssetup!E12</f>
        <v>7500</v>
      </c>
      <c r="P13" s="114" t="s">
        <v>83</v>
      </c>
      <c r="Q13" s="115"/>
      <c r="R13" s="116"/>
      <c r="S13" s="100">
        <f>D39-(C39+C48)</f>
        <v>-2162868.6058081533</v>
      </c>
    </row>
    <row r="14" spans="2:19" x14ac:dyDescent="0.3">
      <c r="B14" s="298" t="s">
        <v>129</v>
      </c>
      <c r="C14" s="299"/>
      <c r="D14" s="69">
        <f>Virksomhedssetup!E13</f>
        <v>96</v>
      </c>
      <c r="P14" s="199" t="s">
        <v>13</v>
      </c>
      <c r="Q14" s="200"/>
      <c r="R14" s="201"/>
      <c r="S14" s="100">
        <f>IF($D$12=1,'Dataark TCO'!P5*1,
IF($D$12=2,(('Dataark TCO'!P5+'Dataark TCO'!P10)/2),
IF($D$12=3,(('Dataark TCO'!P5+'Dataark TCO'!P10+'Dataark TCO'!P15)/3),
IF($D$12=4,(('Dataark TCO'!P5+'Dataark TCO'!P10+'Dataark TCO'!P15+'Dataark TCO'!P20)/4),
IF($D$12=5,(('Dataark TCO'!P5+'Dataark TCO'!P10+'Dataark TCO'!P15+'Dataark TCO'!P20+'Dataark TCO'!P25)/5),
IF($D$12=6,(('Dataark TCO'!P5+'Dataark TCO'!P10+'Dataark TCO'!P15+'Dataark TCO'!P20+'Dataark TCO'!P25+'Dataark TCO'!P25)/6),
IF($D$12=7,(('Dataark TCO'!P5+'Dataark TCO'!P10+'Dataark TCO'!P15+'Dataark TCO'!P20+'Dataark TCO'!P25+'Dataark TCO'!P25+'Dataark TCO'!P25)/7),
IF($D$12=8,(('Dataark TCO'!P5+'Dataark TCO'!P10+'Dataark TCO'!P15+'Dataark TCO'!P20+'Dataark TCO'!P25+'Dataark TCO'!P25+'Dataark TCO'!P25+'Dataark TCO'!P25)/8),
IF($D$12=9,(('Dataark TCO'!P5+'Dataark TCO'!P10+'Dataark TCO'!P15+'Dataark TCO'!P20+'Dataark TCO'!P25+'Dataark TCO'!P25+'Dataark TCO'!P25+'Dataark TCO'!P25+'Dataark TCO'!P25)/9),
IF($D$12=10,(('Dataark TCO'!P5+'Dataark TCO'!P10+'Dataark TCO'!P15+'Dataark TCO'!P20+'Dataark TCO'!P25+'Dataark TCO'!P25+'Dataark TCO'!P25+'Dataark TCO'!P25+'Dataark TCO'!P30+'Dataark TCO'!P35)/10),
IF($D$12=11,(('Dataark TCO'!P5+'Dataark TCO'!P10+'Dataark TCO'!P15+'Dataark TCO'!P20+'Dataark TCO'!P25+'Dataark TCO'!P30+'Dataark TCO'!P35+'Dataark TCO'!P35+'Dataark TCO'!P35+'Dataark TCO'!P35+'Dataark TCO'!P35)/11),
IF($D$12=12,(('Dataark TCO'!P5+'Dataark TCO'!P10+'Dataark TCO'!P15+'Dataark TCO'!P20+'Dataark TCO'!P25+'Dataark TCO'!P30+'Dataark TCO'!P35+'Dataark TCO'!P35+'Dataark TCO'!P35+'Dataark TCO'!P35+'Dataark TCO'!P35+'Dataark TCO'!P35)/12),
IF($D$12=13,(('Dataark TCO'!P5+'Dataark TCO'!P10+'Dataark TCO'!P15+'Dataark TCO'!P20+'Dataark TCO'!P25+'Dataark TCO'!P30+'Dataark TCO'!P35+'Dataark TCO'!P35+'Dataark TCO'!P35+'Dataark TCO'!P35+'Dataark TCO'!P35+'Dataark TCO'!P35+'Dataark TCO'!P35)/13))))))))))))))</f>
        <v>11427.604019925806</v>
      </c>
    </row>
    <row r="15" spans="2:19" ht="16.2" x14ac:dyDescent="0.45">
      <c r="B15" s="298" t="s">
        <v>139</v>
      </c>
      <c r="C15" s="299"/>
      <c r="D15" s="69">
        <f>Virksomhedssetup!E14</f>
        <v>300</v>
      </c>
      <c r="P15" s="181" t="s">
        <v>2</v>
      </c>
      <c r="Q15" s="182"/>
      <c r="R15" s="183"/>
      <c r="S15" s="101">
        <f>(S13-S13-S13)/S14</f>
        <v>189.26702413181761</v>
      </c>
    </row>
    <row r="16" spans="2:19" ht="16.2" x14ac:dyDescent="0.45">
      <c r="B16" s="298" t="s">
        <v>138</v>
      </c>
      <c r="C16" s="299"/>
      <c r="D16" s="69">
        <f>Virksomhedssetup!E15</f>
        <v>300</v>
      </c>
      <c r="P16" s="181" t="s">
        <v>11</v>
      </c>
      <c r="Q16" s="182"/>
      <c r="R16" s="183"/>
      <c r="S16" s="102">
        <f>S15/12</f>
        <v>15.772252010984801</v>
      </c>
    </row>
    <row r="18" spans="2:4" x14ac:dyDescent="0.3">
      <c r="B18" s="244" t="s">
        <v>140</v>
      </c>
      <c r="C18" s="245"/>
      <c r="D18" s="246"/>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302" t="s">
        <v>8</v>
      </c>
      <c r="C26" s="303"/>
      <c r="D26" s="304"/>
    </row>
    <row r="27" spans="2:4" x14ac:dyDescent="0.3">
      <c r="B27" s="250" t="s">
        <v>130</v>
      </c>
      <c r="C27" s="251"/>
      <c r="D27" s="252"/>
    </row>
    <row r="28" spans="2:4" x14ac:dyDescent="0.3">
      <c r="B28" s="8" t="s">
        <v>38</v>
      </c>
      <c r="C28" s="149">
        <v>3000000</v>
      </c>
      <c r="D28" s="149">
        <f>Virksomhedssetup!E27</f>
        <v>1150000</v>
      </c>
    </row>
    <row r="29" spans="2:4" x14ac:dyDescent="0.3">
      <c r="B29" s="8" t="s">
        <v>37</v>
      </c>
      <c r="C29" s="149">
        <f>Virksomhedssetup!D28</f>
        <v>0</v>
      </c>
      <c r="D29" s="149">
        <f>Virksomhedssetup!E28</f>
        <v>0</v>
      </c>
    </row>
    <row r="30" spans="2:4" x14ac:dyDescent="0.3">
      <c r="B30" s="5"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x14ac:dyDescent="0.3">
      <c r="B35" s="8" t="s">
        <v>1</v>
      </c>
      <c r="C35" s="159">
        <f>Virksomhedssetup!D34</f>
        <v>0.03</v>
      </c>
      <c r="D35" s="159">
        <f>Virksomhedssetup!E34</f>
        <v>0.03</v>
      </c>
    </row>
    <row r="36" spans="2:32" x14ac:dyDescent="0.3">
      <c r="B36" s="5" t="s">
        <v>42</v>
      </c>
      <c r="C36" s="47">
        <f>C39-(C31-C34-C32)</f>
        <v>404543.68509430252</v>
      </c>
      <c r="D36" s="47">
        <f>D39-(D31-D34-D32)</f>
        <v>155075.07928614924</v>
      </c>
    </row>
    <row r="37" spans="2:32" ht="16.2" x14ac:dyDescent="0.3">
      <c r="B37" s="9" t="s">
        <v>43</v>
      </c>
      <c r="C37" s="44">
        <f>PMT(C35/12,$D$14,(C31-C32)*-1,C34,1)</f>
        <v>32338.996719732317</v>
      </c>
      <c r="D37" s="44">
        <f>PMT(D35/12,$D$14,(D31-D32)*-1,D34,1)</f>
        <v>12396.615409230722</v>
      </c>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c r="Y39"/>
      <c r="Z39"/>
      <c r="AA39"/>
      <c r="AB39"/>
      <c r="AC39"/>
      <c r="AD39"/>
      <c r="AE39"/>
      <c r="AF39"/>
    </row>
    <row r="40" spans="2:32" s="29" customFormat="1" x14ac:dyDescent="0.3">
      <c r="B40" s="250" t="s">
        <v>27</v>
      </c>
      <c r="C40" s="251"/>
      <c r="D40" s="252"/>
      <c r="E40"/>
      <c r="H40" s="30" t="s">
        <v>130</v>
      </c>
      <c r="I40" s="30" t="s">
        <v>27</v>
      </c>
      <c r="J40" s="3" t="s">
        <v>225</v>
      </c>
      <c r="Y40"/>
      <c r="Z40"/>
      <c r="AA40"/>
      <c r="AB40"/>
      <c r="AC40"/>
      <c r="AD40"/>
      <c r="AE40"/>
      <c r="AF40"/>
    </row>
    <row r="41" spans="2:32" s="29" customFormat="1" x14ac:dyDescent="0.3">
      <c r="B41" s="8" t="s">
        <v>136</v>
      </c>
      <c r="C41" s="160">
        <f>Virksomhedssetup!D40</f>
        <v>50</v>
      </c>
      <c r="D41" s="70"/>
      <c r="E41"/>
      <c r="F41" s="74" t="s">
        <v>31</v>
      </c>
      <c r="G41" s="30" t="s">
        <v>14</v>
      </c>
      <c r="H41" s="31">
        <f>(C37)/D13</f>
        <v>4.3118662292976424</v>
      </c>
      <c r="I41" s="31">
        <f>C46/D13</f>
        <v>0.34499999999999997</v>
      </c>
      <c r="J41" s="93">
        <f>C56/$D$13</f>
        <v>4</v>
      </c>
      <c r="Y41"/>
      <c r="Z41"/>
      <c r="AA41"/>
      <c r="AB41"/>
      <c r="AC41"/>
      <c r="AD41"/>
      <c r="AE41"/>
      <c r="AF41"/>
    </row>
    <row r="42" spans="2:32" s="29" customFormat="1" x14ac:dyDescent="0.3">
      <c r="B42" s="8" t="s">
        <v>132</v>
      </c>
      <c r="C42" s="149">
        <f>Virksomhedssetup!D41</f>
        <v>150000</v>
      </c>
      <c r="D42" s="70"/>
      <c r="E42" s="103"/>
      <c r="F42" s="74"/>
      <c r="G42" s="30" t="s">
        <v>15</v>
      </c>
      <c r="H42" s="31">
        <f>D37/D13</f>
        <v>1.6528820545640963</v>
      </c>
      <c r="I42" s="31">
        <v>0</v>
      </c>
      <c r="J42">
        <f>D56/$D$13</f>
        <v>4</v>
      </c>
      <c r="L42" s="31"/>
      <c r="M42" s="31"/>
      <c r="O42" s="32"/>
      <c r="Y42"/>
      <c r="Z42"/>
      <c r="AA42"/>
      <c r="AB42"/>
      <c r="AC42"/>
      <c r="AD42"/>
      <c r="AE42"/>
      <c r="AF42"/>
    </row>
    <row r="43" spans="2:32" s="29" customFormat="1" x14ac:dyDescent="0.3">
      <c r="B43" s="8" t="s">
        <v>131</v>
      </c>
      <c r="C43" s="160">
        <f>Virksomhedssetup!D42</f>
        <v>80</v>
      </c>
      <c r="D43" s="70"/>
      <c r="E43"/>
      <c r="F43" s="74"/>
      <c r="Y43"/>
      <c r="Z43"/>
      <c r="AA43"/>
      <c r="AB43"/>
      <c r="AC43"/>
      <c r="AD43"/>
      <c r="AE43"/>
      <c r="AF43"/>
    </row>
    <row r="44" spans="2:32" s="29" customFormat="1" x14ac:dyDescent="0.3">
      <c r="B44" s="5" t="s">
        <v>133</v>
      </c>
      <c r="C44" s="47">
        <f>(C43-25)*1200+16400</f>
        <v>82400</v>
      </c>
      <c r="D44" s="70"/>
      <c r="E44"/>
      <c r="F44" s="75" t="s">
        <v>24</v>
      </c>
      <c r="G44" s="30" t="s">
        <v>25</v>
      </c>
      <c r="H44" s="30" t="s">
        <v>22</v>
      </c>
      <c r="I44" s="30" t="s">
        <v>21</v>
      </c>
      <c r="Y44"/>
      <c r="Z44"/>
      <c r="AA44"/>
      <c r="AB44"/>
      <c r="AC44"/>
      <c r="AD44"/>
      <c r="AE44"/>
      <c r="AF44"/>
    </row>
    <row r="45" spans="2:32" s="29" customFormat="1" x14ac:dyDescent="0.3">
      <c r="B45" s="8" t="s">
        <v>178</v>
      </c>
      <c r="C45" s="149">
        <f>Virksomhedssetup!D44</f>
        <v>16000</v>
      </c>
      <c r="D45" s="70"/>
      <c r="E45"/>
      <c r="F45" s="76">
        <f>C66/D13</f>
        <v>1.3952430555555555</v>
      </c>
      <c r="G45" s="31">
        <f>C75/D13</f>
        <v>1.3414666666666666</v>
      </c>
      <c r="H45" s="31">
        <f>Afgifter!C77</f>
        <v>0.17710363927279796</v>
      </c>
      <c r="I45" s="29">
        <v>1E-14</v>
      </c>
      <c r="J45" s="32" t="str">
        <f>"Total "&amp;ROUND(H41+I41+F45+G45+H45+J41,2)</f>
        <v>Total 11,57</v>
      </c>
      <c r="Y45"/>
      <c r="Z45"/>
      <c r="AA45"/>
      <c r="AB45"/>
      <c r="AC45"/>
      <c r="AD45"/>
      <c r="AE45"/>
      <c r="AF45"/>
    </row>
    <row r="46" spans="2:32" s="29" customFormat="1" x14ac:dyDescent="0.3">
      <c r="B46" s="9" t="s">
        <v>169</v>
      </c>
      <c r="C46" s="18">
        <f>C47/12</f>
        <v>2587.5</v>
      </c>
      <c r="D46" s="18">
        <v>0</v>
      </c>
      <c r="E46"/>
      <c r="F46" s="76">
        <f>D66/D13</f>
        <v>3.3932000000000002</v>
      </c>
      <c r="G46" s="31">
        <f>D75/D13</f>
        <v>0.88906666666666667</v>
      </c>
      <c r="H46" s="31">
        <f>Afgifter!C78</f>
        <v>0.15522723081846143</v>
      </c>
      <c r="I46" s="29">
        <v>1E-14</v>
      </c>
      <c r="J46" s="32" t="str">
        <f>"Total "&amp;ROUND(H42+I42+F46+G46+H46+J42,2)</f>
        <v>Total 10,09</v>
      </c>
      <c r="Y46"/>
      <c r="Z46"/>
      <c r="AA46"/>
      <c r="AB46"/>
      <c r="AC46"/>
      <c r="AD46"/>
      <c r="AE46"/>
      <c r="AF46"/>
    </row>
    <row r="47" spans="2:32" s="29" customFormat="1" x14ac:dyDescent="0.3">
      <c r="B47" s="9" t="s">
        <v>170</v>
      </c>
      <c r="C47" s="18">
        <f>C48/D12</f>
        <v>31050</v>
      </c>
      <c r="D47" s="18">
        <v>0</v>
      </c>
      <c r="E47"/>
      <c r="H47" s="55"/>
      <c r="J47" s="55"/>
      <c r="Y47"/>
      <c r="Z47"/>
      <c r="AA47"/>
      <c r="AB47"/>
      <c r="AC47"/>
      <c r="AD47"/>
      <c r="AE47"/>
      <c r="AF47"/>
    </row>
    <row r="48" spans="2:32" s="29" customFormat="1" x14ac:dyDescent="0.3">
      <c r="B48" s="9" t="s">
        <v>179</v>
      </c>
      <c r="C48" s="18">
        <f>C42+C44+C45</f>
        <v>248400</v>
      </c>
      <c r="D48" s="18">
        <v>0</v>
      </c>
      <c r="E48"/>
      <c r="Y48"/>
      <c r="Z48"/>
      <c r="AA48"/>
      <c r="AB48"/>
      <c r="AC48"/>
      <c r="AD48"/>
      <c r="AE48"/>
      <c r="AF48"/>
    </row>
    <row r="49" spans="2:32" s="29" customFormat="1" x14ac:dyDescent="0.3">
      <c r="B49" s="244" t="s">
        <v>9</v>
      </c>
      <c r="C49" s="245"/>
      <c r="D49" s="246"/>
      <c r="E49"/>
      <c r="I49" s="82"/>
      <c r="Y49"/>
      <c r="Z49"/>
      <c r="AA49"/>
      <c r="AB49"/>
      <c r="AC49"/>
      <c r="AD49"/>
      <c r="AE49"/>
      <c r="AF49"/>
    </row>
    <row r="50" spans="2:32" s="29" customFormat="1" x14ac:dyDescent="0.3">
      <c r="B50" s="250" t="s">
        <v>126</v>
      </c>
      <c r="C50" s="251"/>
      <c r="D50" s="252"/>
      <c r="E50" s="41"/>
      <c r="F50"/>
      <c r="G50"/>
      <c r="H50"/>
      <c r="I50"/>
      <c r="J50"/>
      <c r="Y50"/>
      <c r="Z50"/>
      <c r="AA50"/>
      <c r="AB50"/>
      <c r="AC50"/>
      <c r="AD50"/>
      <c r="AE50"/>
      <c r="AF50"/>
    </row>
    <row r="51" spans="2:32" s="29" customFormat="1" x14ac:dyDescent="0.3">
      <c r="B51" s="8" t="s">
        <v>127</v>
      </c>
      <c r="C51" s="149">
        <f>Virksomhedssetup!D47</f>
        <v>30000</v>
      </c>
      <c r="D51" s="149">
        <f>Virksomhedssetup!E47</f>
        <v>30000</v>
      </c>
      <c r="E51" s="41"/>
      <c r="F51"/>
      <c r="G51"/>
      <c r="H51"/>
      <c r="I51"/>
      <c r="J51"/>
      <c r="Y51"/>
      <c r="Z51"/>
      <c r="AA51"/>
      <c r="AB51"/>
      <c r="AC51"/>
      <c r="AD51"/>
      <c r="AE51"/>
      <c r="AF51"/>
    </row>
    <row r="52" spans="2:32" s="29" customFormat="1" x14ac:dyDescent="0.3">
      <c r="B52" s="8" t="s">
        <v>137</v>
      </c>
      <c r="C52" s="150">
        <v>9</v>
      </c>
      <c r="D52" s="150">
        <f>Virksomhedssetup!E48</f>
        <v>9</v>
      </c>
      <c r="E52" s="41"/>
      <c r="F52"/>
      <c r="G52"/>
      <c r="H52"/>
      <c r="I52"/>
      <c r="J52"/>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D56*12</f>
        <v>360000</v>
      </c>
      <c r="E57" s="41"/>
      <c r="Y57"/>
      <c r="Z57"/>
      <c r="AA57"/>
      <c r="AB57"/>
      <c r="AC57"/>
      <c r="AD57"/>
      <c r="AE57"/>
      <c r="AF57"/>
    </row>
    <row r="58" spans="2:32" s="29" customFormat="1" x14ac:dyDescent="0.3">
      <c r="B58" s="9" t="s">
        <v>173</v>
      </c>
      <c r="C58" s="18">
        <f>C57*$D$12</f>
        <v>2880000</v>
      </c>
      <c r="D58" s="18">
        <f>D57*$D$12</f>
        <v>2880000</v>
      </c>
      <c r="E58" s="41"/>
      <c r="Y58"/>
      <c r="Z58"/>
      <c r="AA58"/>
      <c r="AB58"/>
      <c r="AC58"/>
      <c r="AD58"/>
      <c r="AE58"/>
      <c r="AF58"/>
    </row>
    <row r="59" spans="2:32" s="29" customFormat="1" x14ac:dyDescent="0.3">
      <c r="B59" s="250" t="s">
        <v>24</v>
      </c>
      <c r="C59" s="251"/>
      <c r="D59" s="252"/>
      <c r="E59" s="41"/>
      <c r="Y59"/>
      <c r="Z59"/>
      <c r="AA59"/>
      <c r="AB59"/>
      <c r="AC59"/>
      <c r="AD59"/>
      <c r="AE59"/>
      <c r="AF59"/>
    </row>
    <row r="60" spans="2:32" s="29" customFormat="1" x14ac:dyDescent="0.3">
      <c r="B60" s="8" t="s">
        <v>208</v>
      </c>
      <c r="C60" s="153">
        <f>Virksomhedssetup!D53</f>
        <v>1.0732638888888888</v>
      </c>
      <c r="D60" s="153">
        <f>Virksomhedssetup!E53</f>
        <v>11.4</v>
      </c>
      <c r="E60" s="41"/>
      <c r="Y60"/>
      <c r="Z60"/>
      <c r="AA60"/>
      <c r="AB60"/>
      <c r="AC60"/>
      <c r="AD60"/>
      <c r="AE60"/>
      <c r="AF60"/>
    </row>
    <row r="61" spans="2:32" s="29" customFormat="1" x14ac:dyDescent="0.3">
      <c r="B61" s="8" t="s">
        <v>45</v>
      </c>
      <c r="C61" s="17"/>
      <c r="D61" s="153">
        <f>Virksomhedssetup!E54</f>
        <v>0.11</v>
      </c>
      <c r="E61" s="41"/>
      <c r="H61"/>
      <c r="I61"/>
      <c r="J61"/>
      <c r="Y61"/>
      <c r="Z61"/>
      <c r="AA61"/>
      <c r="AB61"/>
      <c r="AC61"/>
      <c r="AD61"/>
      <c r="AE61"/>
      <c r="AF61"/>
    </row>
    <row r="62" spans="2:32" s="29" customFormat="1" x14ac:dyDescent="0.3">
      <c r="B62" s="5" t="s">
        <v>75</v>
      </c>
      <c r="C62" s="47">
        <f>(((D11/12)/100)*C63)*($C$22*C60)</f>
        <v>10464.322916666666</v>
      </c>
      <c r="D62" s="17"/>
      <c r="E62" s="41"/>
      <c r="H62"/>
      <c r="I62"/>
      <c r="J62"/>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H68" s="30"/>
      <c r="I68" s="30"/>
      <c r="J68" s="30"/>
      <c r="Y68"/>
      <c r="Z68"/>
      <c r="AA68"/>
      <c r="AB68"/>
      <c r="AC68"/>
      <c r="AD68"/>
      <c r="AE68"/>
      <c r="AF68"/>
    </row>
    <row r="69" spans="2:32" s="29" customFormat="1" x14ac:dyDescent="0.3">
      <c r="B69" s="250" t="s">
        <v>25</v>
      </c>
      <c r="C69" s="251"/>
      <c r="D69" s="252"/>
      <c r="E69" s="41"/>
      <c r="H69" s="30"/>
      <c r="I69" s="30"/>
      <c r="J69" s="30"/>
      <c r="Y69"/>
      <c r="Z69"/>
      <c r="AA69"/>
      <c r="AB69"/>
      <c r="AC69"/>
      <c r="AD69"/>
      <c r="AE69"/>
      <c r="AF69"/>
    </row>
    <row r="70" spans="2:32" s="29" customFormat="1" x14ac:dyDescent="0.3">
      <c r="B70" s="8" t="s">
        <v>88</v>
      </c>
      <c r="C70" s="149">
        <f>Virksomhedssetup!D61</f>
        <v>7685</v>
      </c>
      <c r="D70" s="149">
        <f>Virksomhedssetup!E61</f>
        <v>5000</v>
      </c>
      <c r="E70" s="41"/>
      <c r="H70" s="30"/>
      <c r="I70" s="30"/>
      <c r="J70" s="30"/>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110"/>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Y77"/>
      <c r="Z77"/>
      <c r="AA77"/>
      <c r="AB77"/>
      <c r="AC77"/>
      <c r="AD77"/>
      <c r="AE77"/>
      <c r="AF77"/>
    </row>
    <row r="78" spans="2:32" s="29" customFormat="1" x14ac:dyDescent="0.3">
      <c r="B78" s="249" t="s">
        <v>175</v>
      </c>
      <c r="C78" s="249"/>
      <c r="D78" s="249"/>
      <c r="E78" s="41"/>
      <c r="F78"/>
      <c r="G78"/>
      <c r="H78"/>
      <c r="I78"/>
      <c r="J78"/>
      <c r="Y78"/>
      <c r="Z78"/>
      <c r="AA78"/>
      <c r="AB78"/>
      <c r="AC78"/>
      <c r="AD78"/>
      <c r="AE78"/>
      <c r="AF78"/>
    </row>
    <row r="79" spans="2:32" s="29" customFormat="1" x14ac:dyDescent="0.3">
      <c r="B79" s="8" t="s">
        <v>240</v>
      </c>
      <c r="C79" s="149">
        <v>0</v>
      </c>
      <c r="D79" s="149">
        <v>0</v>
      </c>
      <c r="E79" s="41"/>
      <c r="F79"/>
      <c r="G79"/>
      <c r="H79"/>
      <c r="I79"/>
      <c r="J79"/>
      <c r="Y79"/>
      <c r="Z79"/>
      <c r="AA79"/>
      <c r="AB79"/>
      <c r="AC79"/>
      <c r="AD79"/>
      <c r="AE79"/>
      <c r="AF79"/>
    </row>
    <row r="80" spans="2:32" s="29" customFormat="1" x14ac:dyDescent="0.3">
      <c r="B80" s="8" t="s">
        <v>242</v>
      </c>
      <c r="C80" s="156">
        <f>Virksomhedssetup!D68</f>
        <v>1.4999999999999999E-2</v>
      </c>
      <c r="D80" s="156">
        <f>Virksomhedssetup!E68</f>
        <v>1.4999999999999999E-2</v>
      </c>
      <c r="E80" s="41"/>
      <c r="F80"/>
      <c r="G80"/>
      <c r="H80"/>
      <c r="I80"/>
      <c r="J80"/>
      <c r="Y80"/>
      <c r="Z80"/>
      <c r="AA80"/>
      <c r="AB80"/>
      <c r="AC80"/>
      <c r="AD80"/>
      <c r="AE80"/>
      <c r="AF80"/>
    </row>
    <row r="81" spans="2:32" s="29" customFormat="1" x14ac:dyDescent="0.3">
      <c r="B81" s="5" t="s">
        <v>241</v>
      </c>
      <c r="C81" s="45">
        <f>((H41+I41+J41+F45+G45)*C80)*D13</f>
        <v>1281.7772945459847</v>
      </c>
      <c r="D81" s="45">
        <f>((H42+I42+J42+F46+G46)*D80)*D13</f>
        <v>1117.7042311384607</v>
      </c>
      <c r="E81" s="41"/>
      <c r="F81"/>
      <c r="G81"/>
      <c r="H81"/>
      <c r="I81"/>
      <c r="J81"/>
      <c r="Y81"/>
      <c r="Z81"/>
      <c r="AA81"/>
      <c r="AB81"/>
      <c r="AC81"/>
      <c r="AD81"/>
      <c r="AE81"/>
      <c r="AF81"/>
    </row>
    <row r="82" spans="2:32" s="29" customFormat="1" ht="16.2" x14ac:dyDescent="0.45">
      <c r="B82" s="9" t="s">
        <v>47</v>
      </c>
      <c r="C82" s="40">
        <f>C81+C79</f>
        <v>1281.7772945459847</v>
      </c>
      <c r="D82" s="40">
        <f>D81+D79</f>
        <v>1117.7042311384607</v>
      </c>
      <c r="E82" s="41"/>
      <c r="F82" s="29" t="s">
        <v>230</v>
      </c>
      <c r="Y82"/>
      <c r="Z82"/>
      <c r="AA82"/>
      <c r="AB82"/>
      <c r="AC82"/>
      <c r="AD82"/>
      <c r="AE82"/>
      <c r="AF82"/>
    </row>
    <row r="83" spans="2:32" s="29" customFormat="1" ht="16.2" x14ac:dyDescent="0.45">
      <c r="B83" s="9" t="s">
        <v>48</v>
      </c>
      <c r="C83" s="40">
        <f>C82*12</f>
        <v>15381.327534551816</v>
      </c>
      <c r="D83" s="40">
        <f>D82*12</f>
        <v>13412.450773661529</v>
      </c>
      <c r="E83" s="41"/>
      <c r="F83" s="29" t="s">
        <v>224</v>
      </c>
      <c r="G83" s="29">
        <v>100</v>
      </c>
      <c r="Y83"/>
      <c r="Z83"/>
      <c r="AA83"/>
      <c r="AB83"/>
      <c r="AC83"/>
      <c r="AD83"/>
      <c r="AE83"/>
      <c r="AF83"/>
    </row>
    <row r="84" spans="2:32" s="29" customFormat="1" ht="16.2" x14ac:dyDescent="0.45">
      <c r="B84" s="9" t="s">
        <v>79</v>
      </c>
      <c r="C84" s="40">
        <f>C83*$D$12</f>
        <v>123050.62027641453</v>
      </c>
      <c r="D84" s="40">
        <f>D83*$D$12</f>
        <v>107299.60618929223</v>
      </c>
      <c r="E84" s="41"/>
      <c r="F84" s="29" t="s">
        <v>231</v>
      </c>
      <c r="G84" s="134">
        <v>0.12</v>
      </c>
      <c r="Y84"/>
      <c r="Z84"/>
      <c r="AA84"/>
      <c r="AB84"/>
      <c r="AC84"/>
      <c r="AD84"/>
      <c r="AE84"/>
      <c r="AF84"/>
    </row>
    <row r="85" spans="2:32" s="29" customFormat="1" x14ac:dyDescent="0.3">
      <c r="B85" s="297" t="s">
        <v>33</v>
      </c>
      <c r="C85" s="297"/>
      <c r="D85" s="297"/>
      <c r="E85" s="41"/>
      <c r="Y85"/>
      <c r="Z85"/>
      <c r="AA85"/>
      <c r="AB85"/>
      <c r="AC85"/>
      <c r="AD85"/>
      <c r="AE85"/>
      <c r="AF85"/>
    </row>
    <row r="86" spans="2:32" s="29" customFormat="1" x14ac:dyDescent="0.3">
      <c r="B86" s="9" t="s">
        <v>49</v>
      </c>
      <c r="C86" s="18">
        <f t="shared" ref="C86:D88" si="0">C37+C46+C56+C66+C75+C82</f>
        <v>86733.596930944972</v>
      </c>
      <c r="D86" s="18">
        <f t="shared" si="0"/>
        <v>75631.319640369184</v>
      </c>
      <c r="E86" s="41"/>
      <c r="Y86"/>
      <c r="Z86"/>
      <c r="AA86"/>
      <c r="AB86"/>
      <c r="AC86"/>
      <c r="AD86"/>
      <c r="AE86"/>
      <c r="AF86"/>
    </row>
    <row r="87" spans="2:32" s="29" customFormat="1" x14ac:dyDescent="0.3">
      <c r="B87" s="9" t="s">
        <v>50</v>
      </c>
      <c r="C87" s="18">
        <f t="shared" si="0"/>
        <v>1040803.1631713397</v>
      </c>
      <c r="D87" s="18">
        <f t="shared" si="0"/>
        <v>907575.83568443009</v>
      </c>
      <c r="E87"/>
      <c r="Y87"/>
      <c r="Z87"/>
      <c r="AA87"/>
      <c r="AB87"/>
      <c r="AC87"/>
      <c r="AD87"/>
      <c r="AE87"/>
      <c r="AF87"/>
    </row>
    <row r="88" spans="2:32" s="29" customFormat="1" x14ac:dyDescent="0.3">
      <c r="B88" s="9" t="s">
        <v>69</v>
      </c>
      <c r="C88" s="18">
        <f t="shared" si="0"/>
        <v>8326425.3053707173</v>
      </c>
      <c r="D88" s="18">
        <f t="shared" si="0"/>
        <v>7260606.6854754407</v>
      </c>
      <c r="E88"/>
      <c r="Y88"/>
      <c r="Z88"/>
      <c r="AA88"/>
      <c r="AB88"/>
      <c r="AC88"/>
      <c r="AD88"/>
      <c r="AE88"/>
      <c r="AF88"/>
    </row>
    <row r="89" spans="2:32" s="29" customFormat="1" x14ac:dyDescent="0.3">
      <c r="E89"/>
      <c r="Y89"/>
      <c r="Z89"/>
      <c r="AA89"/>
      <c r="AB89"/>
      <c r="AC89"/>
      <c r="AD89"/>
      <c r="AE89"/>
      <c r="AF89"/>
    </row>
    <row r="90" spans="2:32" s="29" customFormat="1" x14ac:dyDescent="0.3">
      <c r="E90"/>
      <c r="Y90"/>
      <c r="Z90"/>
      <c r="AA90"/>
      <c r="AB90"/>
      <c r="AC90"/>
      <c r="AD90"/>
      <c r="AE90"/>
      <c r="AF90"/>
    </row>
    <row r="91" spans="2:32" x14ac:dyDescent="0.3">
      <c r="F91" s="29"/>
      <c r="G91" s="29"/>
      <c r="H91" s="29"/>
      <c r="I91" s="29"/>
      <c r="J91" s="29"/>
    </row>
    <row r="92" spans="2:32" x14ac:dyDescent="0.3">
      <c r="F92" s="29"/>
      <c r="G92" s="29"/>
    </row>
    <row r="93" spans="2:32" x14ac:dyDescent="0.3">
      <c r="F93" s="135"/>
      <c r="G93" s="135"/>
    </row>
    <row r="94" spans="2:32" x14ac:dyDescent="0.3">
      <c r="F94" s="135"/>
      <c r="G94" s="135"/>
    </row>
    <row r="99" spans="3:32" x14ac:dyDescent="0.3">
      <c r="AF99" s="29"/>
    </row>
    <row r="103" spans="3:32" x14ac:dyDescent="0.3">
      <c r="C103" s="81"/>
    </row>
    <row r="109" spans="3:32" x14ac:dyDescent="0.3">
      <c r="E109" s="36"/>
    </row>
    <row r="112" spans="3:32" x14ac:dyDescent="0.3">
      <c r="F112" s="10"/>
    </row>
  </sheetData>
  <sheetProtection sheet="1" objects="1" scenarios="1" selectLockedCells="1"/>
  <mergeCells count="33">
    <mergeCell ref="P14:R14"/>
    <mergeCell ref="P15:R15"/>
    <mergeCell ref="F5:I5"/>
    <mergeCell ref="G6:H6"/>
    <mergeCell ref="G7:H7"/>
    <mergeCell ref="G8:H8"/>
    <mergeCell ref="G9:H9"/>
    <mergeCell ref="B7:C7"/>
    <mergeCell ref="B50:D50"/>
    <mergeCell ref="B40:D40"/>
    <mergeCell ref="B85:D85"/>
    <mergeCell ref="B78:D78"/>
    <mergeCell ref="B59:D59"/>
    <mergeCell ref="B69:D69"/>
    <mergeCell ref="B26:D26"/>
    <mergeCell ref="B27:D27"/>
    <mergeCell ref="B49:D49"/>
    <mergeCell ref="P16:R16"/>
    <mergeCell ref="F2:I2"/>
    <mergeCell ref="F3:I3"/>
    <mergeCell ref="B18:D18"/>
    <mergeCell ref="B8:C8"/>
    <mergeCell ref="B11:C11"/>
    <mergeCell ref="B12:C12"/>
    <mergeCell ref="B13:C13"/>
    <mergeCell ref="B14:C14"/>
    <mergeCell ref="B15:C15"/>
    <mergeCell ref="B16:C16"/>
    <mergeCell ref="B2:D2"/>
    <mergeCell ref="B4:D4"/>
    <mergeCell ref="B5:C5"/>
    <mergeCell ref="B6:C6"/>
    <mergeCell ref="G10:H10"/>
  </mergeCells>
  <conditionalFormatting sqref="G10 I10">
    <cfRule type="colorScale" priority="41">
      <colorScale>
        <cfvo type="min"/>
        <cfvo type="percentile" val="50"/>
        <cfvo type="max"/>
        <color rgb="FF63BE7B"/>
        <color rgb="FFFFEB84"/>
        <color rgb="FFF8696B"/>
      </colorScale>
    </cfRule>
  </conditionalFormatting>
  <conditionalFormatting sqref="G7:I7">
    <cfRule type="colorScale" priority="12">
      <colorScale>
        <cfvo type="min"/>
        <cfvo type="percentile" val="50"/>
        <cfvo type="max"/>
        <color rgb="FF63BE7B"/>
        <color rgb="FFFFEB84"/>
        <color rgb="FFF8696B"/>
      </colorScale>
    </cfRule>
  </conditionalFormatting>
  <conditionalFormatting sqref="G8:I8">
    <cfRule type="colorScale" priority="11">
      <colorScale>
        <cfvo type="min"/>
        <cfvo type="percentile" val="50"/>
        <cfvo type="max"/>
        <color rgb="FF63BE7B"/>
        <color rgb="FFFFEB84"/>
        <color rgb="FFF8696B"/>
      </colorScale>
    </cfRule>
  </conditionalFormatting>
  <conditionalFormatting sqref="G9:I9">
    <cfRule type="colorScale" priority="10">
      <colorScale>
        <cfvo type="min"/>
        <cfvo type="percentile" val="50"/>
        <cfvo type="max"/>
        <color rgb="FF63BE7B"/>
        <color rgb="FFFFEB84"/>
        <color rgb="FFF8696B"/>
      </colorScale>
    </cfRule>
  </conditionalFormatting>
  <conditionalFormatting sqref="S5">
    <cfRule type="colorScale" priority="29">
      <colorScale>
        <cfvo type="min"/>
        <cfvo type="num" val="0"/>
        <cfvo type="max"/>
        <color rgb="FFFF0000"/>
        <color theme="0"/>
        <color rgb="FF00B050"/>
      </colorScale>
    </cfRule>
    <cfRule type="colorScale" priority="31">
      <colorScale>
        <cfvo type="min"/>
        <cfvo type="num" val="0"/>
        <cfvo type="max"/>
        <color rgb="FFFF0000"/>
        <color rgb="FFFFEB84"/>
        <color rgb="FF00B050"/>
      </colorScale>
    </cfRule>
    <cfRule type="colorScale" priority="32">
      <colorScale>
        <cfvo type="min"/>
        <cfvo type="num" val="0"/>
        <cfvo type="max"/>
        <color rgb="FFFF0000"/>
        <color theme="0"/>
        <color rgb="FF00B050"/>
      </colorScale>
    </cfRule>
  </conditionalFormatting>
  <conditionalFormatting sqref="S6:S8">
    <cfRule type="colorScale" priority="35">
      <colorScale>
        <cfvo type="num" val="-1"/>
        <cfvo type="num" val="0"/>
        <cfvo type="num" val="1"/>
        <color rgb="FFFF0000"/>
        <color rgb="FFFFFF00"/>
        <color rgb="FF00B050"/>
      </colorScale>
    </cfRule>
    <cfRule type="colorScale" priority="36">
      <colorScale>
        <cfvo type="min"/>
        <cfvo type="num" val="0"/>
        <cfvo type="max"/>
        <color rgb="FFFF0000"/>
        <color rgb="FFFFFF00"/>
        <color rgb="FF00B050"/>
      </colorScale>
    </cfRule>
  </conditionalFormatting>
  <hyperlinks>
    <hyperlink ref="F3" r:id="rId1" display="Har du spørgsmål til beregningen kan du henvende dig til lucas.perkild@regionh.dk" xr:uid="{3D821A37-30A2-4BFC-ABFA-5A9F360C0D0A}"/>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E262-B520-4FA7-882E-9FAD71815129}">
  <sheetPr codeName="Sheet10">
    <tabColor rgb="FFFFC000"/>
  </sheetPr>
  <dimension ref="B2:AF109"/>
  <sheetViews>
    <sheetView showGridLines="0" zoomScaleNormal="100" workbookViewId="0">
      <selection activeCell="C20" sqref="C20"/>
    </sheetView>
  </sheetViews>
  <sheetFormatPr defaultColWidth="8.88671875" defaultRowHeight="14.4" x14ac:dyDescent="0.3"/>
  <cols>
    <col min="1" max="1" width="2.109375"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19" ht="25.8" x14ac:dyDescent="0.5">
      <c r="B2" s="279" t="s">
        <v>93</v>
      </c>
      <c r="C2" s="280"/>
      <c r="D2" s="281"/>
      <c r="E2" s="6"/>
      <c r="F2" s="237" t="s">
        <v>6</v>
      </c>
      <c r="G2" s="237"/>
      <c r="H2" s="237"/>
      <c r="I2" s="237"/>
      <c r="P2" s="234" t="s">
        <v>80</v>
      </c>
      <c r="Q2" s="234"/>
      <c r="R2" s="234"/>
      <c r="S2" s="234"/>
    </row>
    <row r="3" spans="2:19" x14ac:dyDescent="0.3">
      <c r="F3" s="282" t="s">
        <v>176</v>
      </c>
      <c r="G3" s="282"/>
      <c r="H3" s="282"/>
      <c r="I3" s="282"/>
      <c r="P3" s="234" t="s">
        <v>19</v>
      </c>
      <c r="Q3" s="234"/>
      <c r="R3" s="234"/>
      <c r="S3" s="28" t="s">
        <v>81</v>
      </c>
    </row>
    <row r="4" spans="2:19" ht="18" x14ac:dyDescent="0.35">
      <c r="B4" s="283" t="s">
        <v>3</v>
      </c>
      <c r="C4" s="284"/>
      <c r="D4" s="285"/>
      <c r="P4" s="286" t="s">
        <v>87</v>
      </c>
      <c r="Q4" s="286"/>
      <c r="R4" s="286"/>
      <c r="S4" s="286"/>
    </row>
    <row r="5" spans="2:19" x14ac:dyDescent="0.3">
      <c r="B5" s="276" t="s">
        <v>68</v>
      </c>
      <c r="C5" s="278"/>
      <c r="D5" s="2"/>
      <c r="F5" s="244" t="s">
        <v>237</v>
      </c>
      <c r="G5" s="245"/>
      <c r="H5" s="245"/>
      <c r="I5" s="246"/>
      <c r="P5" s="287" t="s">
        <v>67</v>
      </c>
      <c r="Q5" s="287"/>
      <c r="R5" s="287"/>
      <c r="S5" s="58">
        <f>(H42+I42+F46+G46+H46)-(H41+I41+F45+G45+H45)</f>
        <v>-0.72860363874343737</v>
      </c>
    </row>
    <row r="6" spans="2:19" ht="16.2" x14ac:dyDescent="0.45">
      <c r="B6" s="276" t="s">
        <v>4</v>
      </c>
      <c r="C6" s="278"/>
      <c r="D6" s="4"/>
      <c r="F6" s="20"/>
      <c r="G6" s="244" t="s">
        <v>114</v>
      </c>
      <c r="H6" s="246"/>
      <c r="I6" s="28" t="s">
        <v>15</v>
      </c>
      <c r="P6" s="287" t="s">
        <v>49</v>
      </c>
      <c r="Q6" s="287"/>
      <c r="R6" s="287"/>
      <c r="S6" s="43">
        <f>$D$86-$C$86</f>
        <v>-11102.277290575788</v>
      </c>
    </row>
    <row r="7" spans="2:19" ht="16.2" x14ac:dyDescent="0.45">
      <c r="B7" s="276" t="s">
        <v>5</v>
      </c>
      <c r="C7" s="278"/>
      <c r="D7" s="8"/>
      <c r="E7" s="3"/>
      <c r="F7" s="94" t="s">
        <v>30</v>
      </c>
      <c r="G7" s="305">
        <f>(H41+I41+J41+F45+G45+H45)</f>
        <v>11.669146257459328</v>
      </c>
      <c r="H7" s="306"/>
      <c r="I7" s="104">
        <f>(H42+I42+J42+F46+G46+H46)</f>
        <v>10.94054261871589</v>
      </c>
      <c r="P7" s="287" t="s">
        <v>50</v>
      </c>
      <c r="Q7" s="287"/>
      <c r="R7" s="287"/>
      <c r="S7" s="43">
        <f>$D$87-$C$87</f>
        <v>-133227.32748690958</v>
      </c>
    </row>
    <row r="8" spans="2:19" ht="16.2" x14ac:dyDescent="0.45">
      <c r="B8" s="276" t="s">
        <v>23</v>
      </c>
      <c r="C8" s="278"/>
      <c r="D8" s="5"/>
      <c r="E8" s="7"/>
      <c r="F8" s="94" t="s">
        <v>236</v>
      </c>
      <c r="G8" s="305">
        <f>H45</f>
        <v>0.27557030593946463</v>
      </c>
      <c r="H8" s="306"/>
      <c r="I8" s="104">
        <f>H46</f>
        <v>1.0053938974851282</v>
      </c>
      <c r="P8" s="287" t="s">
        <v>69</v>
      </c>
      <c r="Q8" s="287"/>
      <c r="R8" s="287"/>
      <c r="S8" s="43">
        <f>$D$88-$C$88</f>
        <v>-1065818.6198952766</v>
      </c>
    </row>
    <row r="9" spans="2:19" x14ac:dyDescent="0.3">
      <c r="F9" s="94" t="s">
        <v>223</v>
      </c>
      <c r="G9" s="307">
        <f>(G8/G7)*100</f>
        <v>2.3615292829439891</v>
      </c>
      <c r="H9" s="308"/>
      <c r="I9" s="133">
        <f>(I8/I7)*100</f>
        <v>9.1896163885437439</v>
      </c>
      <c r="P9"/>
      <c r="Q9"/>
      <c r="R9"/>
      <c r="S9"/>
    </row>
    <row r="10" spans="2:19" x14ac:dyDescent="0.3">
      <c r="F10" s="94" t="s">
        <v>232</v>
      </c>
      <c r="G10" s="300">
        <f>H45/((H41+I41+J41+F45+G45))*100</f>
        <v>2.4186463241393894</v>
      </c>
      <c r="H10" s="301"/>
      <c r="I10" s="133">
        <f>H46/(H42+I42+J42+F46+G46)*100</f>
        <v>10.119565652164495</v>
      </c>
      <c r="P10"/>
      <c r="Q10"/>
      <c r="R10"/>
      <c r="S10"/>
    </row>
    <row r="11" spans="2:19" x14ac:dyDescent="0.3">
      <c r="B11" s="298" t="s">
        <v>10</v>
      </c>
      <c r="C11" s="299"/>
      <c r="D11" s="69">
        <f>Virksomhedssetup!E10</f>
        <v>90000</v>
      </c>
      <c r="P11" s="312" t="s">
        <v>20</v>
      </c>
      <c r="Q11" s="313"/>
      <c r="R11" s="313"/>
      <c r="S11" s="314"/>
    </row>
    <row r="12" spans="2:19" x14ac:dyDescent="0.3">
      <c r="B12" s="91" t="s">
        <v>71</v>
      </c>
      <c r="C12" s="92"/>
      <c r="D12" s="69">
        <f>Virksomhedssetup!E11</f>
        <v>8</v>
      </c>
      <c r="P12" s="309" t="s">
        <v>82</v>
      </c>
      <c r="Q12" s="310"/>
      <c r="R12" s="310"/>
      <c r="S12" s="311"/>
    </row>
    <row r="13" spans="2:19" x14ac:dyDescent="0.3">
      <c r="B13" s="298" t="s">
        <v>128</v>
      </c>
      <c r="C13" s="299"/>
      <c r="D13" s="69">
        <f>Virksomhedssetup!E12</f>
        <v>7500</v>
      </c>
      <c r="P13" s="199" t="s">
        <v>83</v>
      </c>
      <c r="Q13" s="200"/>
      <c r="R13" s="201"/>
      <c r="S13" s="100">
        <f>D39-(C39+C48)</f>
        <v>-2162868.6058081533</v>
      </c>
    </row>
    <row r="14" spans="2:19" x14ac:dyDescent="0.3">
      <c r="B14" s="298" t="s">
        <v>129</v>
      </c>
      <c r="C14" s="299"/>
      <c r="D14" s="69">
        <f>Virksomhedssetup!E13</f>
        <v>96</v>
      </c>
      <c r="P14" s="199" t="s">
        <v>13</v>
      </c>
      <c r="Q14" s="200"/>
      <c r="R14" s="201"/>
      <c r="S14" s="100">
        <f>IF($D$12=1,'Dataark TCO'!P10*1,
IF($D$12=2,(('Dataark TCO'!P10+'Dataark TCO'!P15)/2),
IF($D$12=3,(('Dataark TCO'!P10+'Dataark TCO'!P15+'Dataark TCO'!P20)/3),
IF($D$12=4,(('Dataark TCO'!P10+'Dataark TCO'!P15+'Dataark TCO'!P20+'Dataark TCO'!P25)/4),
IF($D$12=5,(('Dataark TCO'!P10+'Dataark TCO'!P15+'Dataark TCO'!P20+'Dataark TCO'!P25+'Dataark TCO'!P30)/5),
IF($D$12=6,(('Dataark TCO'!P10+'Dataark TCO'!P15+'Dataark TCO'!P20+'Dataark TCO'!P25+'Dataark TCO'!P30+'Dataark TCO'!P30)/6),
IF($D$12=7,(('Dataark TCO'!P10+'Dataark TCO'!P15+'Dataark TCO'!P20+'Dataark TCO'!P25+'Dataark TCO'!P30+'Dataark TCO'!P30+'Dataark TCO'!P30)/7),
IF($D$12=8,(('Dataark TCO'!P10+'Dataark TCO'!P15+'Dataark TCO'!P20+'Dataark TCO'!P25+'Dataark TCO'!P30+'Dataark TCO'!P30+'Dataark TCO'!P30+'Dataark TCO'!P30)/8),
IF($D$12=9,(('Dataark TCO'!P10+'Dataark TCO'!P15+'Dataark TCO'!P20+'Dataark TCO'!P25+'Dataark TCO'!P30+'Dataark TCO'!P30+'Dataark TCO'!P30+'Dataark TCO'!P30+'Dataark TCO'!P30)/9),
IF($D$12=10,(('Dataark TCO'!P10+'Dataark TCO'!P15+'Dataark TCO'!P20+'Dataark TCO'!P25+'Dataark TCO'!P30+'Dataark TCO'!P30+'Dataark TCO'!P30+'Dataark TCO'!P30+'Dataark TCO'!P35+'Dataark TCO'!P35)/10),
IF($D$12=11,(('Dataark TCO'!P10+'Dataark TCO'!P15+'Dataark TCO'!P20+'Dataark TCO'!P25+'Dataark TCO'!P30+'Dataark TCO'!P35+'Dataark TCO'!P35+'Dataark TCO'!P35+'Dataark TCO'!P35+'Dataark TCO'!P35+'Dataark TCO'!P35)/11),
IF($D$12=12,(('Dataark TCO'!P10+'Dataark TCO'!P15+'Dataark TCO'!P20+'Dataark TCO'!P25+'Dataark TCO'!P30+'Dataark TCO'!P35+'Dataark TCO'!P35+'Dataark TCO'!P35+'Dataark TCO'!P35+'Dataark TCO'!P35+'Dataark TCO'!P35+'Dataark TCO'!P35)/12),
IF($D$12=13,(('Dataark TCO'!P10+'Dataark TCO'!P15+'Dataark TCO'!P20+'Dataark TCO'!P25+'Dataark TCO'!P30+'Dataark TCO'!P35+'Dataark TCO'!P35+'Dataark TCO'!P35+'Dataark TCO'!P35+'Dataark TCO'!P35+'Dataark TCO'!P35+'Dataark TCO'!P35+'Dataark TCO'!P35)/13))))))))))))))</f>
        <v>11427.604019925806</v>
      </c>
    </row>
    <row r="15" spans="2:19" ht="16.2" x14ac:dyDescent="0.45">
      <c r="B15" s="298" t="s">
        <v>139</v>
      </c>
      <c r="C15" s="299"/>
      <c r="D15" s="69">
        <f>Virksomhedssetup!E14</f>
        <v>300</v>
      </c>
      <c r="P15" s="181" t="s">
        <v>2</v>
      </c>
      <c r="Q15" s="182"/>
      <c r="R15" s="183"/>
      <c r="S15" s="101">
        <f>(S13-S13-S13)/S14</f>
        <v>189.26702413181761</v>
      </c>
    </row>
    <row r="16" spans="2:19" ht="16.2" x14ac:dyDescent="0.45">
      <c r="B16" s="298" t="s">
        <v>138</v>
      </c>
      <c r="C16" s="299"/>
      <c r="D16" s="69">
        <f>Virksomhedssetup!E15</f>
        <v>300</v>
      </c>
      <c r="P16" s="181" t="s">
        <v>11</v>
      </c>
      <c r="Q16" s="182"/>
      <c r="R16" s="183"/>
      <c r="S16" s="102">
        <f>S15/12</f>
        <v>15.772252010984801</v>
      </c>
    </row>
    <row r="18" spans="2:4" x14ac:dyDescent="0.3">
      <c r="B18" s="28" t="s">
        <v>140</v>
      </c>
      <c r="C18" s="28"/>
      <c r="D18" s="28"/>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28" t="s">
        <v>8</v>
      </c>
      <c r="C26" s="28"/>
      <c r="D26" s="28"/>
    </row>
    <row r="27" spans="2:4" x14ac:dyDescent="0.3">
      <c r="B27" s="87" t="s">
        <v>130</v>
      </c>
      <c r="C27" s="87"/>
      <c r="D27" s="87"/>
    </row>
    <row r="28" spans="2:4" x14ac:dyDescent="0.3">
      <c r="B28" s="8" t="s">
        <v>38</v>
      </c>
      <c r="C28" s="149">
        <v>3000000</v>
      </c>
      <c r="D28" s="149">
        <f>Virksomhedssetup!E27</f>
        <v>1150000</v>
      </c>
    </row>
    <row r="29" spans="2:4" x14ac:dyDescent="0.3">
      <c r="B29" s="11" t="s">
        <v>37</v>
      </c>
      <c r="C29" s="149">
        <f>Virksomhedssetup!D28</f>
        <v>0</v>
      </c>
      <c r="D29" s="149">
        <f>Virksomhedssetup!E28</f>
        <v>0</v>
      </c>
    </row>
    <row r="30" spans="2:4" x14ac:dyDescent="0.3">
      <c r="B30" s="80"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s="29" customFormat="1" x14ac:dyDescent="0.3">
      <c r="B35" s="8" t="s">
        <v>1</v>
      </c>
      <c r="C35" s="159">
        <f>Virksomhedssetup!D34</f>
        <v>0.03</v>
      </c>
      <c r="D35" s="159">
        <f>Virksomhedssetup!E34</f>
        <v>0.03</v>
      </c>
      <c r="E35"/>
      <c r="Y35"/>
      <c r="Z35"/>
      <c r="AA35"/>
      <c r="AB35"/>
      <c r="AC35"/>
      <c r="AD35"/>
      <c r="AE35"/>
      <c r="AF35"/>
    </row>
    <row r="36" spans="2:32" s="29" customFormat="1" x14ac:dyDescent="0.3">
      <c r="B36" s="5" t="s">
        <v>42</v>
      </c>
      <c r="C36" s="47">
        <f>C39-(C31-C34-C32)</f>
        <v>404543.68509430252</v>
      </c>
      <c r="D36" s="47">
        <f>D39-(D31-D34-D32)</f>
        <v>155075.07928614924</v>
      </c>
      <c r="E36"/>
      <c r="Y36"/>
      <c r="Z36"/>
      <c r="AA36"/>
      <c r="AB36"/>
      <c r="AC36"/>
      <c r="AD36"/>
      <c r="AE36"/>
      <c r="AF36"/>
    </row>
    <row r="37" spans="2:32" s="29" customFormat="1" ht="16.2" x14ac:dyDescent="0.3">
      <c r="B37" s="9" t="s">
        <v>43</v>
      </c>
      <c r="C37" s="44">
        <f>PMT(C35/12,$D$14,(C31-C32)*-1,C34,1)</f>
        <v>32338.996719732317</v>
      </c>
      <c r="D37" s="44">
        <f>PMT(D35/12,$D$14,(D31-D32)*-1,D34,1)</f>
        <v>12396.615409230722</v>
      </c>
      <c r="E37"/>
      <c r="Y37"/>
      <c r="Z37"/>
      <c r="AA37"/>
      <c r="AB37"/>
      <c r="AC37"/>
      <c r="AD37"/>
      <c r="AE37"/>
      <c r="AF37"/>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s="103"/>
      <c r="K39" s="31"/>
      <c r="L39" s="31"/>
      <c r="M39" s="31"/>
      <c r="O39" s="32"/>
      <c r="Y39"/>
      <c r="Z39"/>
      <c r="AA39"/>
      <c r="AB39"/>
      <c r="AC39"/>
      <c r="AD39"/>
      <c r="AE39"/>
      <c r="AF39"/>
    </row>
    <row r="40" spans="2:32" s="29" customFormat="1" x14ac:dyDescent="0.3">
      <c r="B40" s="87" t="s">
        <v>27</v>
      </c>
      <c r="C40" s="87"/>
      <c r="D40" s="87"/>
      <c r="E40"/>
      <c r="H40" s="30" t="s">
        <v>130</v>
      </c>
      <c r="I40" s="30" t="s">
        <v>27</v>
      </c>
      <c r="J40" s="3" t="s">
        <v>225</v>
      </c>
      <c r="Y40"/>
      <c r="Z40"/>
      <c r="AA40"/>
      <c r="AB40"/>
      <c r="AC40"/>
      <c r="AD40"/>
      <c r="AE40"/>
      <c r="AF40"/>
    </row>
    <row r="41" spans="2:32" s="29" customFormat="1" x14ac:dyDescent="0.3">
      <c r="B41" s="8" t="s">
        <v>136</v>
      </c>
      <c r="C41" s="160">
        <f>Virksomhedssetup!D40</f>
        <v>50</v>
      </c>
      <c r="D41" s="70"/>
      <c r="E41"/>
      <c r="F41" s="295" t="s">
        <v>31</v>
      </c>
      <c r="G41" s="30" t="s">
        <v>14</v>
      </c>
      <c r="H41" s="31">
        <f>(C37)/D13</f>
        <v>4.3118662292976424</v>
      </c>
      <c r="I41" s="31">
        <f>C46/D13</f>
        <v>0.34499999999999997</v>
      </c>
      <c r="J41" s="36">
        <f>C56/$D$13</f>
        <v>4</v>
      </c>
      <c r="Y41"/>
      <c r="Z41"/>
      <c r="AA41"/>
      <c r="AB41"/>
      <c r="AC41"/>
      <c r="AD41"/>
      <c r="AE41"/>
      <c r="AF41"/>
    </row>
    <row r="42" spans="2:32" s="29" customFormat="1" x14ac:dyDescent="0.3">
      <c r="B42" s="8" t="s">
        <v>132</v>
      </c>
      <c r="C42" s="149">
        <f>Virksomhedssetup!D41</f>
        <v>150000</v>
      </c>
      <c r="D42" s="70"/>
      <c r="E42"/>
      <c r="F42" s="295"/>
      <c r="G42" s="30" t="s">
        <v>15</v>
      </c>
      <c r="H42" s="31">
        <f>D37/D13</f>
        <v>1.6528820545640963</v>
      </c>
      <c r="I42" s="31">
        <v>0</v>
      </c>
      <c r="J42">
        <f>D56/$D$13</f>
        <v>4</v>
      </c>
      <c r="Y42"/>
      <c r="Z42"/>
      <c r="AA42"/>
      <c r="AB42"/>
      <c r="AC42"/>
      <c r="AD42"/>
      <c r="AE42"/>
      <c r="AF42"/>
    </row>
    <row r="43" spans="2:32" s="29" customFormat="1" x14ac:dyDescent="0.3">
      <c r="B43" s="11" t="s">
        <v>131</v>
      </c>
      <c r="C43" s="160">
        <f>Virksomhedssetup!D42</f>
        <v>80</v>
      </c>
      <c r="D43" s="70"/>
      <c r="E43"/>
      <c r="F43" s="295"/>
      <c r="G43" s="30"/>
      <c r="H43" s="31"/>
      <c r="I43" s="31"/>
      <c r="J43"/>
      <c r="Y43"/>
      <c r="Z43"/>
      <c r="AA43"/>
      <c r="AB43"/>
      <c r="AC43"/>
      <c r="AD43"/>
      <c r="AE43"/>
      <c r="AF43"/>
    </row>
    <row r="44" spans="2:32" s="29" customFormat="1" x14ac:dyDescent="0.3">
      <c r="B44" s="80" t="s">
        <v>133</v>
      </c>
      <c r="C44" s="47">
        <f>(C43-25)*1200+16400</f>
        <v>82400</v>
      </c>
      <c r="D44" s="70"/>
      <c r="E44"/>
      <c r="F44" s="30" t="s">
        <v>24</v>
      </c>
      <c r="G44" s="30" t="s">
        <v>25</v>
      </c>
      <c r="H44" s="30" t="s">
        <v>22</v>
      </c>
      <c r="I44" s="30" t="s">
        <v>21</v>
      </c>
      <c r="Y44"/>
      <c r="Z44"/>
      <c r="AA44"/>
      <c r="AB44"/>
      <c r="AC44"/>
      <c r="AD44"/>
      <c r="AE44"/>
      <c r="AF44"/>
    </row>
    <row r="45" spans="2:32" s="29" customFormat="1" x14ac:dyDescent="0.3">
      <c r="B45" s="11" t="s">
        <v>178</v>
      </c>
      <c r="C45" s="149">
        <f>Virksomhedssetup!D44</f>
        <v>16000</v>
      </c>
      <c r="D45" s="70"/>
      <c r="E45"/>
      <c r="F45" s="31">
        <f>C66/D13</f>
        <v>1.3952430555555555</v>
      </c>
      <c r="G45" s="31">
        <f>C75/D13</f>
        <v>1.3414666666666666</v>
      </c>
      <c r="H45" s="31">
        <f>Afgifter!D77</f>
        <v>0.27557030593946463</v>
      </c>
      <c r="I45" s="29">
        <v>1E-14</v>
      </c>
      <c r="J45" s="32" t="str">
        <f>"Total "&amp;ROUND(H41+I41+F45+G45+H45+J41,2)</f>
        <v>Total 11,67</v>
      </c>
      <c r="Y45"/>
      <c r="Z45"/>
      <c r="AA45"/>
      <c r="AB45"/>
      <c r="AC45"/>
      <c r="AD45"/>
      <c r="AE45"/>
      <c r="AF45"/>
    </row>
    <row r="46" spans="2:32" s="29" customFormat="1" x14ac:dyDescent="0.3">
      <c r="B46" s="9" t="s">
        <v>169</v>
      </c>
      <c r="C46" s="18">
        <f>C47/12</f>
        <v>2587.5</v>
      </c>
      <c r="D46" s="18">
        <v>0</v>
      </c>
      <c r="E46"/>
      <c r="F46" s="31">
        <f>D66/D13</f>
        <v>3.3932000000000002</v>
      </c>
      <c r="G46" s="31">
        <f>D75/D13</f>
        <v>0.88906666666666667</v>
      </c>
      <c r="H46" s="31">
        <f>Afgifter!D78</f>
        <v>1.0053938974851282</v>
      </c>
      <c r="I46" s="29">
        <v>1E-14</v>
      </c>
      <c r="J46" s="32" t="str">
        <f>"Total "&amp;ROUND(H42+I42+F46+G46+H46+J42,2)</f>
        <v>Total 10,94</v>
      </c>
      <c r="Y46"/>
      <c r="Z46"/>
      <c r="AA46"/>
      <c r="AB46"/>
      <c r="AC46"/>
      <c r="AD46"/>
      <c r="AE46"/>
      <c r="AF46"/>
    </row>
    <row r="47" spans="2:32" s="29" customFormat="1" x14ac:dyDescent="0.3">
      <c r="B47" s="9" t="s">
        <v>170</v>
      </c>
      <c r="C47" s="18">
        <f>C48/D12</f>
        <v>31050</v>
      </c>
      <c r="D47" s="18">
        <v>0</v>
      </c>
      <c r="E47" s="41"/>
      <c r="F47"/>
      <c r="G47"/>
      <c r="H47"/>
      <c r="I47"/>
      <c r="J47"/>
      <c r="Y47"/>
      <c r="Z47"/>
      <c r="AA47"/>
      <c r="AB47"/>
      <c r="AC47"/>
      <c r="AD47"/>
      <c r="AE47"/>
      <c r="AF47"/>
    </row>
    <row r="48" spans="2:32" s="29" customFormat="1" x14ac:dyDescent="0.3">
      <c r="B48" s="9" t="s">
        <v>179</v>
      </c>
      <c r="C48" s="18">
        <f>C42+C44+C45</f>
        <v>248400</v>
      </c>
      <c r="D48" s="18">
        <v>0</v>
      </c>
      <c r="E48" s="41"/>
      <c r="F48"/>
      <c r="G48"/>
      <c r="H48"/>
      <c r="I48"/>
      <c r="J48"/>
      <c r="Y48"/>
      <c r="Z48"/>
      <c r="AA48"/>
      <c r="AB48"/>
      <c r="AC48"/>
      <c r="AD48"/>
      <c r="AE48"/>
      <c r="AF48"/>
    </row>
    <row r="49" spans="2:32" s="29" customFormat="1" x14ac:dyDescent="0.3">
      <c r="B49" s="28" t="s">
        <v>9</v>
      </c>
      <c r="C49" s="28"/>
      <c r="D49" s="28"/>
      <c r="E49" s="41"/>
      <c r="F49"/>
      <c r="G49"/>
      <c r="H49"/>
      <c r="I49"/>
      <c r="J49"/>
      <c r="Y49"/>
      <c r="Z49"/>
      <c r="AA49"/>
      <c r="AB49"/>
      <c r="AC49"/>
      <c r="AD49"/>
      <c r="AE49"/>
      <c r="AF49"/>
    </row>
    <row r="50" spans="2:32" s="29" customFormat="1" x14ac:dyDescent="0.3">
      <c r="B50" s="87" t="s">
        <v>126</v>
      </c>
      <c r="C50" s="87"/>
      <c r="D50" s="87"/>
      <c r="E50" s="41"/>
      <c r="Y50"/>
      <c r="Z50"/>
      <c r="AA50"/>
      <c r="AB50"/>
      <c r="AC50"/>
      <c r="AD50"/>
      <c r="AE50"/>
      <c r="AF50"/>
    </row>
    <row r="51" spans="2:32" s="29" customFormat="1" x14ac:dyDescent="0.3">
      <c r="B51" s="8" t="s">
        <v>127</v>
      </c>
      <c r="C51" s="149">
        <f>Virksomhedssetup!D47</f>
        <v>30000</v>
      </c>
      <c r="D51" s="149">
        <f>Virksomhedssetup!E47</f>
        <v>30000</v>
      </c>
      <c r="E51" s="41"/>
      <c r="Y51"/>
      <c r="Z51"/>
      <c r="AA51"/>
      <c r="AB51"/>
      <c r="AC51"/>
      <c r="AD51"/>
      <c r="AE51"/>
      <c r="AF51"/>
    </row>
    <row r="52" spans="2:32" s="29" customFormat="1" x14ac:dyDescent="0.3">
      <c r="B52" s="8" t="s">
        <v>137</v>
      </c>
      <c r="C52" s="150">
        <f>Virksomhedssetup!D48</f>
        <v>9</v>
      </c>
      <c r="D52" s="150">
        <f>Virksomhedssetup!E48</f>
        <v>9</v>
      </c>
      <c r="E52" s="41"/>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D56*12</f>
        <v>360000</v>
      </c>
      <c r="E57" s="41"/>
      <c r="Y57"/>
      <c r="Z57"/>
      <c r="AA57"/>
      <c r="AB57"/>
      <c r="AC57"/>
      <c r="AD57"/>
      <c r="AE57"/>
      <c r="AF57"/>
    </row>
    <row r="58" spans="2:32" s="29" customFormat="1" x14ac:dyDescent="0.3">
      <c r="B58" s="9" t="s">
        <v>173</v>
      </c>
      <c r="C58" s="18">
        <f>C57*$D$12</f>
        <v>2880000</v>
      </c>
      <c r="D58" s="18">
        <f>D57*$D$12</f>
        <v>2880000</v>
      </c>
      <c r="E58" s="41"/>
      <c r="H58"/>
      <c r="I58"/>
      <c r="J58"/>
      <c r="Y58"/>
      <c r="Z58"/>
      <c r="AA58"/>
      <c r="AB58"/>
      <c r="AC58"/>
      <c r="AD58"/>
      <c r="AE58"/>
      <c r="AF58"/>
    </row>
    <row r="59" spans="2:32" s="29" customFormat="1" x14ac:dyDescent="0.3">
      <c r="B59" s="87" t="s">
        <v>24</v>
      </c>
      <c r="C59" s="87"/>
      <c r="D59" s="87"/>
      <c r="E59" s="41"/>
      <c r="H59"/>
      <c r="I59"/>
      <c r="J59"/>
      <c r="Y59"/>
      <c r="Z59"/>
      <c r="AA59"/>
      <c r="AB59"/>
      <c r="AC59"/>
      <c r="AD59"/>
      <c r="AE59"/>
      <c r="AF59"/>
    </row>
    <row r="60" spans="2:32" s="29" customFormat="1" x14ac:dyDescent="0.3">
      <c r="B60" s="8" t="s">
        <v>208</v>
      </c>
      <c r="C60" s="153">
        <f>Virksomhedssetup!D53</f>
        <v>1.0732638888888888</v>
      </c>
      <c r="D60" s="153">
        <f>Virksomhedssetup!E53</f>
        <v>11.4</v>
      </c>
      <c r="E60" s="41"/>
      <c r="H60" s="30"/>
      <c r="I60" s="30"/>
      <c r="J60" s="30"/>
      <c r="Y60"/>
      <c r="Z60"/>
      <c r="AA60"/>
      <c r="AB60"/>
      <c r="AC60"/>
      <c r="AD60"/>
      <c r="AE60"/>
      <c r="AF60"/>
    </row>
    <row r="61" spans="2:32" s="29" customFormat="1" x14ac:dyDescent="0.3">
      <c r="B61" s="8" t="s">
        <v>45</v>
      </c>
      <c r="C61" s="17"/>
      <c r="D61" s="153">
        <f>Virksomhedssetup!E54</f>
        <v>0.11</v>
      </c>
      <c r="E61" s="41"/>
      <c r="H61" s="30"/>
      <c r="I61" s="30"/>
      <c r="J61" s="30"/>
      <c r="Y61"/>
      <c r="Z61"/>
      <c r="AA61"/>
      <c r="AB61"/>
      <c r="AC61"/>
      <c r="AD61"/>
      <c r="AE61"/>
      <c r="AF61"/>
    </row>
    <row r="62" spans="2:32" s="29" customFormat="1" x14ac:dyDescent="0.3">
      <c r="B62" s="5" t="s">
        <v>75</v>
      </c>
      <c r="C62" s="47">
        <f>(((D11/12)/100)*C63)*($C$22*C60)</f>
        <v>10464.322916666666</v>
      </c>
      <c r="D62" s="17"/>
      <c r="E62" s="41"/>
      <c r="H62" s="30"/>
      <c r="I62" s="30"/>
      <c r="J62" s="30"/>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Y68"/>
      <c r="Z68"/>
      <c r="AA68"/>
      <c r="AB68"/>
      <c r="AC68"/>
      <c r="AD68"/>
      <c r="AE68"/>
      <c r="AF68"/>
    </row>
    <row r="69" spans="2:32" s="29" customFormat="1" x14ac:dyDescent="0.3">
      <c r="B69" s="87" t="s">
        <v>25</v>
      </c>
      <c r="C69" s="87"/>
      <c r="D69" s="87"/>
      <c r="E69" s="41"/>
      <c r="Y69"/>
      <c r="Z69"/>
      <c r="AA69"/>
      <c r="AB69"/>
      <c r="AC69"/>
      <c r="AD69"/>
      <c r="AE69"/>
      <c r="AF69"/>
    </row>
    <row r="70" spans="2:32" s="29" customFormat="1" x14ac:dyDescent="0.3">
      <c r="B70" s="8" t="s">
        <v>88</v>
      </c>
      <c r="C70" s="149">
        <f>Virksomhedssetup!D61</f>
        <v>7685</v>
      </c>
      <c r="D70" s="149">
        <f>Virksomhedssetup!E61</f>
        <v>5000</v>
      </c>
      <c r="E70" s="41"/>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41"/>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F75"/>
      <c r="G75"/>
      <c r="H75"/>
      <c r="I75"/>
      <c r="J75"/>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F77" s="41"/>
      <c r="G77" s="41"/>
      <c r="H77" s="41"/>
      <c r="I77" s="41"/>
      <c r="J77" s="41"/>
      <c r="Y77"/>
      <c r="Z77"/>
      <c r="AA77"/>
      <c r="AB77"/>
      <c r="AC77"/>
      <c r="AD77"/>
      <c r="AE77"/>
      <c r="AF77"/>
    </row>
    <row r="78" spans="2:32" s="29" customFormat="1" x14ac:dyDescent="0.3">
      <c r="B78" s="249" t="s">
        <v>175</v>
      </c>
      <c r="C78" s="249"/>
      <c r="D78" s="249"/>
      <c r="E78" s="41"/>
      <c r="F78" s="41"/>
      <c r="G78" s="41"/>
      <c r="H78" s="41"/>
      <c r="I78" s="41"/>
      <c r="J78" s="41"/>
      <c r="Y78"/>
      <c r="Z78"/>
      <c r="AA78"/>
      <c r="AB78"/>
      <c r="AC78"/>
      <c r="AD78"/>
      <c r="AE78"/>
      <c r="AF78"/>
    </row>
    <row r="79" spans="2:32" s="29" customFormat="1" x14ac:dyDescent="0.3">
      <c r="B79" s="8" t="s">
        <v>240</v>
      </c>
      <c r="C79" s="149">
        <f>Virksomhedssetup!D67</f>
        <v>29</v>
      </c>
      <c r="D79" s="149">
        <f>Virksomhedssetup!E67</f>
        <v>29</v>
      </c>
      <c r="E79" s="41"/>
      <c r="F79" s="41"/>
      <c r="G79" s="41"/>
      <c r="H79" s="41"/>
      <c r="I79" s="41"/>
      <c r="J79" s="41"/>
      <c r="Y79"/>
      <c r="Z79"/>
      <c r="AA79"/>
      <c r="AB79"/>
      <c r="AC79"/>
      <c r="AD79"/>
      <c r="AE79"/>
      <c r="AF79"/>
    </row>
    <row r="80" spans="2:32" s="29" customFormat="1" x14ac:dyDescent="0.3">
      <c r="B80" s="8" t="s">
        <v>242</v>
      </c>
      <c r="C80" s="156">
        <f>Virksomhedssetup!D68</f>
        <v>1.4999999999999999E-2</v>
      </c>
      <c r="D80" s="156">
        <f>Virksomhedssetup!E68</f>
        <v>1.4999999999999999E-2</v>
      </c>
      <c r="E80" s="41"/>
      <c r="F80" s="41"/>
      <c r="G80" s="41"/>
      <c r="H80" s="41"/>
      <c r="I80" s="41"/>
      <c r="J80" s="41"/>
      <c r="Y80"/>
      <c r="Z80"/>
      <c r="AA80"/>
      <c r="AB80"/>
      <c r="AC80"/>
      <c r="AD80"/>
      <c r="AE80"/>
      <c r="AF80"/>
    </row>
    <row r="81" spans="2:32" s="29" customFormat="1" x14ac:dyDescent="0.3">
      <c r="B81" s="5" t="s">
        <v>241</v>
      </c>
      <c r="C81" s="45">
        <f>((H41+I41+J41+F45+G45)*C80)*D13</f>
        <v>1281.7772945459847</v>
      </c>
      <c r="D81" s="45">
        <f>((H42+I42+J42+F46+G46)*D80)*D13</f>
        <v>1117.7042311384607</v>
      </c>
      <c r="F81" s="41"/>
      <c r="G81" s="41"/>
      <c r="H81" s="41"/>
      <c r="I81" s="41"/>
      <c r="J81" s="41"/>
      <c r="Y81"/>
      <c r="Z81"/>
      <c r="AA81"/>
      <c r="AB81"/>
      <c r="AC81"/>
      <c r="AD81"/>
      <c r="AE81"/>
      <c r="AF81"/>
    </row>
    <row r="82" spans="2:32" s="29" customFormat="1" ht="16.2" x14ac:dyDescent="0.45">
      <c r="B82" s="9" t="s">
        <v>47</v>
      </c>
      <c r="C82" s="40">
        <f>C81+C79</f>
        <v>1310.7772945459847</v>
      </c>
      <c r="D82" s="40">
        <f>D81+D79</f>
        <v>1146.7042311384607</v>
      </c>
      <c r="F82" s="41"/>
      <c r="G82" s="41"/>
      <c r="H82" s="41"/>
      <c r="I82" s="41"/>
      <c r="J82" s="41"/>
      <c r="Y82"/>
      <c r="Z82"/>
      <c r="AA82"/>
      <c r="AB82"/>
      <c r="AC82"/>
      <c r="AD82"/>
      <c r="AE82"/>
      <c r="AF82"/>
    </row>
    <row r="83" spans="2:32" s="29" customFormat="1" ht="16.2" x14ac:dyDescent="0.45">
      <c r="B83" s="9" t="s">
        <v>48</v>
      </c>
      <c r="C83" s="40">
        <f>C82*12</f>
        <v>15729.327534551816</v>
      </c>
      <c r="D83" s="40">
        <f>D82*12</f>
        <v>13760.450773661529</v>
      </c>
      <c r="E83" s="41"/>
      <c r="F83" s="41"/>
      <c r="G83" s="41"/>
      <c r="H83" s="41"/>
      <c r="I83" s="41"/>
      <c r="J83" s="41"/>
      <c r="Y83"/>
      <c r="Z83"/>
      <c r="AA83"/>
      <c r="AB83"/>
      <c r="AC83"/>
      <c r="AD83"/>
      <c r="AE83"/>
      <c r="AF83"/>
    </row>
    <row r="84" spans="2:32" s="29" customFormat="1" ht="16.2" x14ac:dyDescent="0.45">
      <c r="B84" s="9" t="s">
        <v>79</v>
      </c>
      <c r="C84" s="40">
        <f>C83*$D$12</f>
        <v>125834.62027641453</v>
      </c>
      <c r="D84" s="40">
        <f>D83*$D$12</f>
        <v>110083.60618929223</v>
      </c>
      <c r="E84"/>
      <c r="F84"/>
      <c r="G84"/>
      <c r="H84"/>
      <c r="I84"/>
      <c r="J84"/>
      <c r="Y84"/>
      <c r="Z84"/>
      <c r="AA84"/>
      <c r="AB84"/>
      <c r="AC84"/>
      <c r="AD84"/>
      <c r="AE84"/>
      <c r="AF84"/>
    </row>
    <row r="85" spans="2:32" s="29" customFormat="1" x14ac:dyDescent="0.3">
      <c r="B85" s="297" t="s">
        <v>33</v>
      </c>
      <c r="C85" s="297"/>
      <c r="D85" s="297"/>
      <c r="E85"/>
      <c r="F85"/>
      <c r="G85"/>
      <c r="H85"/>
      <c r="I85"/>
      <c r="J85"/>
      <c r="Y85"/>
      <c r="Z85"/>
      <c r="AA85"/>
      <c r="AB85"/>
      <c r="AC85"/>
      <c r="AD85"/>
      <c r="AE85"/>
      <c r="AF85"/>
    </row>
    <row r="86" spans="2:32" s="29" customFormat="1" x14ac:dyDescent="0.3">
      <c r="B86" s="9" t="s">
        <v>49</v>
      </c>
      <c r="C86" s="18">
        <f t="shared" ref="C86:D88" si="0">C37+C46+C56+C66+C75+C82</f>
        <v>86762.596930944972</v>
      </c>
      <c r="D86" s="18">
        <f t="shared" si="0"/>
        <v>75660.319640369184</v>
      </c>
      <c r="E86"/>
      <c r="F86"/>
      <c r="G86"/>
      <c r="H86"/>
      <c r="I86"/>
      <c r="J86"/>
      <c r="Y86"/>
      <c r="Z86"/>
      <c r="AA86"/>
      <c r="AB86"/>
      <c r="AC86"/>
      <c r="AD86"/>
      <c r="AE86"/>
      <c r="AF86"/>
    </row>
    <row r="87" spans="2:32" s="29" customFormat="1" x14ac:dyDescent="0.3">
      <c r="B87" s="9" t="s">
        <v>50</v>
      </c>
      <c r="C87" s="18">
        <f t="shared" si="0"/>
        <v>1041151.1631713397</v>
      </c>
      <c r="D87" s="18">
        <f t="shared" si="0"/>
        <v>907923.83568443009</v>
      </c>
      <c r="E87"/>
      <c r="F87"/>
      <c r="G87"/>
      <c r="H87"/>
      <c r="I87"/>
      <c r="J87"/>
      <c r="Y87"/>
      <c r="Z87"/>
      <c r="AA87"/>
      <c r="AB87"/>
      <c r="AC87"/>
      <c r="AD87"/>
      <c r="AE87"/>
      <c r="AF87"/>
    </row>
    <row r="88" spans="2:32" x14ac:dyDescent="0.3">
      <c r="B88" s="9" t="s">
        <v>69</v>
      </c>
      <c r="C88" s="18">
        <f t="shared" si="0"/>
        <v>8329209.3053707173</v>
      </c>
      <c r="D88" s="18">
        <f t="shared" si="0"/>
        <v>7263390.6854754407</v>
      </c>
    </row>
    <row r="96" spans="2:32" x14ac:dyDescent="0.3">
      <c r="AF96" s="29"/>
    </row>
    <row r="106" spans="5:6" x14ac:dyDescent="0.3">
      <c r="E106" s="36"/>
    </row>
    <row r="109" spans="5:6" x14ac:dyDescent="0.3">
      <c r="F109" s="10"/>
    </row>
  </sheetData>
  <sheetProtection sheet="1" objects="1" scenarios="1" selectLockedCells="1"/>
  <mergeCells count="35">
    <mergeCell ref="P11:S11"/>
    <mergeCell ref="P13:R13"/>
    <mergeCell ref="F5:I5"/>
    <mergeCell ref="G6:H6"/>
    <mergeCell ref="G7:H7"/>
    <mergeCell ref="P7:R7"/>
    <mergeCell ref="P8:R8"/>
    <mergeCell ref="P6:R6"/>
    <mergeCell ref="B78:D78"/>
    <mergeCell ref="B85:D85"/>
    <mergeCell ref="F41:F43"/>
    <mergeCell ref="P12:S12"/>
    <mergeCell ref="P14:R14"/>
    <mergeCell ref="B13:C13"/>
    <mergeCell ref="B14:C14"/>
    <mergeCell ref="P15:R15"/>
    <mergeCell ref="P16:R16"/>
    <mergeCell ref="P3:R3"/>
    <mergeCell ref="P5:R5"/>
    <mergeCell ref="P4:S4"/>
    <mergeCell ref="P2:S2"/>
    <mergeCell ref="B2:D2"/>
    <mergeCell ref="B4:D4"/>
    <mergeCell ref="B5:C5"/>
    <mergeCell ref="B11:C11"/>
    <mergeCell ref="B15:C15"/>
    <mergeCell ref="B16:C16"/>
    <mergeCell ref="G8:H8"/>
    <mergeCell ref="G9:H9"/>
    <mergeCell ref="G10:H10"/>
    <mergeCell ref="B6:C6"/>
    <mergeCell ref="B7:C7"/>
    <mergeCell ref="B8:C8"/>
    <mergeCell ref="F2:I2"/>
    <mergeCell ref="F3:I3"/>
  </mergeCells>
  <conditionalFormatting sqref="G10 I10">
    <cfRule type="colorScale" priority="4">
      <colorScale>
        <cfvo type="min"/>
        <cfvo type="percentile" val="50"/>
        <cfvo type="max"/>
        <color rgb="FF63BE7B"/>
        <color rgb="FFFFEB84"/>
        <color rgb="FFF8696B"/>
      </colorScale>
    </cfRule>
  </conditionalFormatting>
  <conditionalFormatting sqref="G7:I7">
    <cfRule type="colorScale" priority="3">
      <colorScale>
        <cfvo type="min"/>
        <cfvo type="percentile" val="50"/>
        <cfvo type="max"/>
        <color rgb="FF63BE7B"/>
        <color rgb="FFFFEB84"/>
        <color rgb="FFF8696B"/>
      </colorScale>
    </cfRule>
  </conditionalFormatting>
  <conditionalFormatting sqref="G8:I8">
    <cfRule type="colorScale" priority="2">
      <colorScale>
        <cfvo type="min"/>
        <cfvo type="percentile" val="50"/>
        <cfvo type="max"/>
        <color rgb="FF63BE7B"/>
        <color rgb="FFFFEB84"/>
        <color rgb="FFF8696B"/>
      </colorScale>
    </cfRule>
  </conditionalFormatting>
  <conditionalFormatting sqref="G9:I9">
    <cfRule type="colorScale" priority="1">
      <colorScale>
        <cfvo type="min"/>
        <cfvo type="percentile" val="50"/>
        <cfvo type="max"/>
        <color rgb="FF63BE7B"/>
        <color rgb="FFFFEB84"/>
        <color rgb="FFF8696B"/>
      </colorScale>
    </cfRule>
  </conditionalFormatting>
  <conditionalFormatting sqref="S5">
    <cfRule type="colorScale" priority="35">
      <colorScale>
        <cfvo type="min"/>
        <cfvo type="num" val="0"/>
        <cfvo type="max"/>
        <color rgb="FFFF0000"/>
        <color theme="0"/>
        <color rgb="FF00B050"/>
      </colorScale>
    </cfRule>
    <cfRule type="colorScale" priority="37">
      <colorScale>
        <cfvo type="min"/>
        <cfvo type="num" val="0"/>
        <cfvo type="max"/>
        <color rgb="FFFF0000"/>
        <color rgb="FFFFEB84"/>
        <color rgb="FF00B050"/>
      </colorScale>
    </cfRule>
    <cfRule type="colorScale" priority="38">
      <colorScale>
        <cfvo type="min"/>
        <cfvo type="num" val="0"/>
        <cfvo type="max"/>
        <color rgb="FFFF0000"/>
        <color theme="0"/>
        <color rgb="FF00B050"/>
      </colorScale>
    </cfRule>
  </conditionalFormatting>
  <conditionalFormatting sqref="S6:S8">
    <cfRule type="colorScale" priority="41">
      <colorScale>
        <cfvo type="num" val="-1"/>
        <cfvo type="num" val="0"/>
        <cfvo type="num" val="1"/>
        <color rgb="FFFF0000"/>
        <color rgb="FFFFFF00"/>
        <color rgb="FF00B050"/>
      </colorScale>
    </cfRule>
    <cfRule type="colorScale" priority="42">
      <colorScale>
        <cfvo type="min"/>
        <cfvo type="num" val="0"/>
        <cfvo type="max"/>
        <color rgb="FFFF0000"/>
        <color rgb="FFFFFF00"/>
        <color rgb="FF00B050"/>
      </colorScale>
    </cfRule>
  </conditionalFormatting>
  <hyperlinks>
    <hyperlink ref="F3" r:id="rId1" display="Har du spørgsmål til beregningen kan du henvende dig til lucas.perkild@regionh.dk" xr:uid="{2EFA169F-417A-42E0-9203-157535011A1C}"/>
    <hyperlink ref="J6" r:id="rId2" display="Har du spørgsmål til beregningen kan du henvende dig til LKPD@COWI.COM" xr:uid="{6E94ACBA-1F53-4CE5-AEB2-F059DD2F7BCF}"/>
    <hyperlink ref="J9" r:id="rId3" display="Har du spørgsmål til beregningen kan du henvende dig til LKPD@COWI.COM" xr:uid="{38A8CA82-833E-49A6-AD80-A081A07839CB}"/>
    <hyperlink ref="J13" r:id="rId4" display="Har du spørgsmål til beregningen kan du henvende dig til LKPD@COWI.COM" xr:uid="{30AEBF7F-6BE3-4D9B-AA2F-CF400C5311C1}"/>
    <hyperlink ref="J16" r:id="rId5" display="Har du spørgsmål til beregningen kan du henvende dig til LKPD@COWI.COM" xr:uid="{10E74BC7-4B85-4B91-932C-43FB1574804A}"/>
    <hyperlink ref="J19" r:id="rId6" display="Har du spørgsmål til beregningen kan du henvende dig til LKPD@COWI.COM" xr:uid="{69B63D60-E456-494E-A15A-C6BFEF1E79CA}"/>
    <hyperlink ref="J22" r:id="rId7" display="Har du spørgsmål til beregningen kan du henvende dig til LKPD@COWI.COM" xr:uid="{5E270394-99F4-4478-A6C3-86457EE0D510}"/>
  </hyperlinks>
  <pageMargins left="0.7" right="0.7" top="0.75" bottom="0.75" header="0.3" footer="0.3"/>
  <pageSetup paperSize="9"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D7D8A-2EE9-4463-ACA5-C14D250D2D40}">
  <sheetPr codeName="Sheet11">
    <tabColor rgb="FFFFC000"/>
  </sheetPr>
  <dimension ref="B2:AF109"/>
  <sheetViews>
    <sheetView showGridLines="0" zoomScaleNormal="100" workbookViewId="0">
      <selection activeCell="C20" sqref="C20"/>
    </sheetView>
  </sheetViews>
  <sheetFormatPr defaultColWidth="8.88671875" defaultRowHeight="14.4" x14ac:dyDescent="0.3"/>
  <cols>
    <col min="1" max="1" width="2"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19" ht="25.8" x14ac:dyDescent="0.5">
      <c r="B2" s="279" t="s">
        <v>93</v>
      </c>
      <c r="C2" s="280"/>
      <c r="D2" s="281"/>
      <c r="E2" s="6"/>
      <c r="F2" s="237" t="s">
        <v>6</v>
      </c>
      <c r="G2" s="237"/>
      <c r="H2" s="237"/>
      <c r="I2" s="237"/>
      <c r="P2" s="234" t="s">
        <v>80</v>
      </c>
      <c r="Q2" s="234"/>
      <c r="R2" s="234"/>
      <c r="S2" s="234"/>
    </row>
    <row r="3" spans="2:19" x14ac:dyDescent="0.3">
      <c r="F3" s="282" t="s">
        <v>176</v>
      </c>
      <c r="G3" s="282"/>
      <c r="H3" s="282"/>
      <c r="I3" s="282"/>
      <c r="P3" s="234" t="s">
        <v>19</v>
      </c>
      <c r="Q3" s="234"/>
      <c r="R3" s="234"/>
      <c r="S3" s="28" t="s">
        <v>81</v>
      </c>
    </row>
    <row r="4" spans="2:19" ht="18" x14ac:dyDescent="0.35">
      <c r="B4" s="283" t="s">
        <v>3</v>
      </c>
      <c r="C4" s="284"/>
      <c r="D4" s="285"/>
      <c r="P4" s="286" t="s">
        <v>87</v>
      </c>
      <c r="Q4" s="286"/>
      <c r="R4" s="286"/>
      <c r="S4" s="286"/>
    </row>
    <row r="5" spans="2:19" x14ac:dyDescent="0.3">
      <c r="B5" s="276" t="s">
        <v>68</v>
      </c>
      <c r="C5" s="278"/>
      <c r="D5" s="2"/>
      <c r="F5" s="244" t="s">
        <v>237</v>
      </c>
      <c r="G5" s="245"/>
      <c r="H5" s="245"/>
      <c r="I5" s="246"/>
      <c r="P5" s="287" t="s">
        <v>67</v>
      </c>
      <c r="Q5" s="287"/>
      <c r="R5" s="287"/>
      <c r="S5" s="58">
        <f>(H42+I42+F46+G46+H46)-(H41+I41+F45+G45+H45)</f>
        <v>-0.72860363874343737</v>
      </c>
    </row>
    <row r="6" spans="2:19" ht="16.2" x14ac:dyDescent="0.45">
      <c r="B6" s="276" t="s">
        <v>4</v>
      </c>
      <c r="C6" s="278"/>
      <c r="D6" s="4"/>
      <c r="F6" s="20"/>
      <c r="G6" s="244" t="s">
        <v>114</v>
      </c>
      <c r="H6" s="246"/>
      <c r="I6" s="28" t="s">
        <v>15</v>
      </c>
      <c r="P6" s="287" t="s">
        <v>49</v>
      </c>
      <c r="Q6" s="287"/>
      <c r="R6" s="287"/>
      <c r="S6" s="43">
        <f>$D$86-$C$86</f>
        <v>-11102.277290575788</v>
      </c>
    </row>
    <row r="7" spans="2:19" ht="16.2" x14ac:dyDescent="0.45">
      <c r="B7" s="276" t="s">
        <v>5</v>
      </c>
      <c r="C7" s="278"/>
      <c r="D7" s="8"/>
      <c r="E7" s="3"/>
      <c r="F7" s="94" t="s">
        <v>30</v>
      </c>
      <c r="G7" s="305">
        <f>(H41+I41+J41+F45+G45+H45)</f>
        <v>11.669146257459328</v>
      </c>
      <c r="H7" s="306"/>
      <c r="I7" s="104">
        <f>(H42+I42+J42+F46+G46+H46)</f>
        <v>10.94054261871589</v>
      </c>
      <c r="P7" s="287" t="s">
        <v>50</v>
      </c>
      <c r="Q7" s="287"/>
      <c r="R7" s="287"/>
      <c r="S7" s="43">
        <f>$D$87-$C$87</f>
        <v>-133227.32748690958</v>
      </c>
    </row>
    <row r="8" spans="2:19" ht="16.2" x14ac:dyDescent="0.45">
      <c r="B8" s="276" t="s">
        <v>23</v>
      </c>
      <c r="C8" s="278"/>
      <c r="D8" s="5"/>
      <c r="E8" s="7"/>
      <c r="F8" s="94" t="s">
        <v>236</v>
      </c>
      <c r="G8" s="305">
        <f>H45</f>
        <v>0.27557030593946463</v>
      </c>
      <c r="H8" s="306"/>
      <c r="I8" s="104">
        <f>H46</f>
        <v>1.0053938974851282</v>
      </c>
      <c r="P8" s="287" t="s">
        <v>69</v>
      </c>
      <c r="Q8" s="287"/>
      <c r="R8" s="287"/>
      <c r="S8" s="43">
        <f>$D$88-$C$88</f>
        <v>-1065818.6198952766</v>
      </c>
    </row>
    <row r="9" spans="2:19" x14ac:dyDescent="0.3">
      <c r="F9" s="94" t="s">
        <v>223</v>
      </c>
      <c r="G9" s="307">
        <f>(G8/G7)*100</f>
        <v>2.3615292829439891</v>
      </c>
      <c r="H9" s="308"/>
      <c r="I9" s="133">
        <f>(I8/I7)*100</f>
        <v>9.1896163885437439</v>
      </c>
      <c r="P9"/>
      <c r="Q9"/>
      <c r="R9"/>
      <c r="S9"/>
    </row>
    <row r="10" spans="2:19" x14ac:dyDescent="0.3">
      <c r="F10" s="94" t="s">
        <v>232</v>
      </c>
      <c r="G10" s="300">
        <f>H45/((H41+I41+J41+F45+G45))*100</f>
        <v>2.4186463241393894</v>
      </c>
      <c r="H10" s="301"/>
      <c r="I10" s="133">
        <f>H46/(H42+I42+J42+F46+G46)*100</f>
        <v>10.119565652164495</v>
      </c>
      <c r="P10"/>
      <c r="Q10"/>
      <c r="R10"/>
      <c r="S10"/>
    </row>
    <row r="11" spans="2:19" x14ac:dyDescent="0.3">
      <c r="B11" s="106" t="s">
        <v>10</v>
      </c>
      <c r="C11" s="107"/>
      <c r="D11" s="69">
        <f>Virksomhedssetup!E10</f>
        <v>90000</v>
      </c>
      <c r="P11" s="312" t="s">
        <v>20</v>
      </c>
      <c r="Q11" s="313"/>
      <c r="R11" s="313"/>
      <c r="S11" s="314"/>
    </row>
    <row r="12" spans="2:19" x14ac:dyDescent="0.3">
      <c r="B12" s="106" t="s">
        <v>71</v>
      </c>
      <c r="C12" s="107"/>
      <c r="D12" s="69">
        <f>Virksomhedssetup!E11</f>
        <v>8</v>
      </c>
      <c r="P12" s="309" t="s">
        <v>82</v>
      </c>
      <c r="Q12" s="310"/>
      <c r="R12" s="310"/>
      <c r="S12" s="311"/>
    </row>
    <row r="13" spans="2:19" x14ac:dyDescent="0.3">
      <c r="B13" s="106" t="s">
        <v>128</v>
      </c>
      <c r="C13" s="107"/>
      <c r="D13" s="69">
        <f>Virksomhedssetup!E12</f>
        <v>7500</v>
      </c>
      <c r="P13" s="199" t="s">
        <v>83</v>
      </c>
      <c r="Q13" s="200"/>
      <c r="R13" s="201"/>
      <c r="S13" s="100">
        <f>D39-(C39+C48)</f>
        <v>-2162868.6058081533</v>
      </c>
    </row>
    <row r="14" spans="2:19" x14ac:dyDescent="0.3">
      <c r="B14" s="106" t="s">
        <v>129</v>
      </c>
      <c r="C14" s="107"/>
      <c r="D14" s="69">
        <f>Virksomhedssetup!E13</f>
        <v>96</v>
      </c>
      <c r="P14" s="199" t="s">
        <v>13</v>
      </c>
      <c r="Q14" s="200"/>
      <c r="R14" s="201"/>
      <c r="S14" s="100">
        <f>IF($D$12=1,'Dataark TCO'!P15*1,
IF($D$12=2,(('Dataark TCO'!P15+'Dataark TCO'!P20)/2),
IF($D$12=3,(('Dataark TCO'!P15+'Dataark TCO'!P20+'Dataark TCO'!P25)/3),
IF($D$12=4,(('Dataark TCO'!P15+'Dataark TCO'!P20+'Dataark TCO'!P25+'Dataark TCO'!P30)/4),
IF($D$12=5,(('Dataark TCO'!P15+'Dataark TCO'!P20+'Dataark TCO'!P25+'Dataark TCO'!P30+'Dataark TCO'!P35)/5),
IF($D$12=6,(('Dataark TCO'!P15+'Dataark TCO'!P20+'Dataark TCO'!P25+'Dataark TCO'!P30+'Dataark TCO'!P35+'Dataark TCO'!P35)/6),
IF($D$12=7,(('Dataark TCO'!P15+'Dataark TCO'!P20+'Dataark TCO'!P25+'Dataark TCO'!P30+'Dataark TCO'!P35+'Dataark TCO'!P35+'Dataark TCO'!P35)/7),
IF($D$12=8,(('Dataark TCO'!P15+'Dataark TCO'!P20+'Dataark TCO'!P25+'Dataark TCO'!P30+'Dataark TCO'!P35+'Dataark TCO'!P35+'Dataark TCO'!P35+'Dataark TCO'!P35)/8),
IF($D$12=9,(('Dataark TCO'!P15+'Dataark TCO'!P20+'Dataark TCO'!P25+'Dataark TCO'!P30+'Dataark TCO'!P35+'Dataark TCO'!P35+'Dataark TCO'!P35+'Dataark TCO'!P35+'Dataark TCO'!P35)/9),
IF($D$12=10,(('Dataark TCO'!P15+'Dataark TCO'!P20+'Dataark TCO'!P25+'Dataark TCO'!P30+'Dataark TCO'!P35+'Dataark TCO'!P35+'Dataark TCO'!P35+'Dataark TCO'!P35+'Dataark TCO'!P35+'Dataark TCO'!P35)/10),
IF($D$12=11,(('Dataark TCO'!P15+'Dataark TCO'!P20+'Dataark TCO'!P25+'Dataark TCO'!P30+'Dataark TCO'!P35+'Dataark TCO'!P35+'Dataark TCO'!P35+'Dataark TCO'!P35+'Dataark TCO'!P35+'Dataark TCO'!P35+'Dataark TCO'!P35)/11),
IF($D$12=12,(('Dataark TCO'!P15+'Dataark TCO'!P20+'Dataark TCO'!P25+'Dataark TCO'!P30+'Dataark TCO'!P35+'Dataark TCO'!P35+'Dataark TCO'!P35+'Dataark TCO'!P35+'Dataark TCO'!P35+'Dataark TCO'!P35+'Dataark TCO'!P35+'Dataark TCO'!P35)/12),
IF($D$12=13,(('Dataark TCO'!P15+'Dataark TCO'!P20+'Dataark TCO'!P25+'Dataark TCO'!P30+'Dataark TCO'!P35+'Dataark TCO'!P35+'Dataark TCO'!P35+'Dataark TCO'!P35+'Dataark TCO'!P35+'Dataark TCO'!P35+'Dataark TCO'!P35+'Dataark TCO'!P35+'Dataark TCO'!P35)/13))))))))))))))</f>
        <v>16515.60401992581</v>
      </c>
    </row>
    <row r="15" spans="2:19" ht="16.2" x14ac:dyDescent="0.45">
      <c r="B15" s="106" t="s">
        <v>139</v>
      </c>
      <c r="C15" s="107"/>
      <c r="D15" s="69">
        <f>Virksomhedssetup!E14</f>
        <v>300</v>
      </c>
      <c r="P15" s="181" t="s">
        <v>2</v>
      </c>
      <c r="Q15" s="182"/>
      <c r="R15" s="183"/>
      <c r="S15" s="101">
        <f>(S13-S13-S13)/S14</f>
        <v>130.9590980262476</v>
      </c>
    </row>
    <row r="16" spans="2:19" ht="16.2" x14ac:dyDescent="0.45">
      <c r="B16" s="106" t="s">
        <v>138</v>
      </c>
      <c r="C16" s="107"/>
      <c r="D16" s="69">
        <f>Virksomhedssetup!E15</f>
        <v>300</v>
      </c>
      <c r="P16" s="181" t="s">
        <v>11</v>
      </c>
      <c r="Q16" s="182"/>
      <c r="R16" s="183"/>
      <c r="S16" s="102">
        <f>S15/12</f>
        <v>10.913258168853966</v>
      </c>
    </row>
    <row r="18" spans="2:4" x14ac:dyDescent="0.3">
      <c r="B18" s="28" t="s">
        <v>140</v>
      </c>
      <c r="C18" s="28"/>
      <c r="D18" s="28"/>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28" t="s">
        <v>8</v>
      </c>
      <c r="C26" s="28"/>
      <c r="D26" s="28"/>
    </row>
    <row r="27" spans="2:4" x14ac:dyDescent="0.3">
      <c r="B27" s="87" t="s">
        <v>130</v>
      </c>
      <c r="C27" s="87"/>
      <c r="D27" s="87"/>
    </row>
    <row r="28" spans="2:4" x14ac:dyDescent="0.3">
      <c r="B28" s="8" t="s">
        <v>38</v>
      </c>
      <c r="C28" s="149">
        <v>3000000</v>
      </c>
      <c r="D28" s="149">
        <f>Virksomhedssetup!E27</f>
        <v>1150000</v>
      </c>
    </row>
    <row r="29" spans="2:4" x14ac:dyDescent="0.3">
      <c r="B29" s="11" t="s">
        <v>37</v>
      </c>
      <c r="C29" s="149">
        <f>Virksomhedssetup!D28</f>
        <v>0</v>
      </c>
      <c r="D29" s="149">
        <f>Virksomhedssetup!E28</f>
        <v>0</v>
      </c>
    </row>
    <row r="30" spans="2:4" x14ac:dyDescent="0.3">
      <c r="B30" s="80"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s="29" customFormat="1" x14ac:dyDescent="0.3">
      <c r="B35" s="8" t="s">
        <v>1</v>
      </c>
      <c r="C35" s="159">
        <f>Virksomhedssetup!D34</f>
        <v>0.03</v>
      </c>
      <c r="D35" s="159">
        <f>Virksomhedssetup!E34</f>
        <v>0.03</v>
      </c>
      <c r="E35"/>
      <c r="Y35"/>
      <c r="Z35"/>
      <c r="AA35"/>
      <c r="AB35"/>
      <c r="AC35"/>
      <c r="AD35"/>
      <c r="AE35"/>
      <c r="AF35"/>
    </row>
    <row r="36" spans="2:32" s="29" customFormat="1" x14ac:dyDescent="0.3">
      <c r="B36" s="5" t="s">
        <v>42</v>
      </c>
      <c r="C36" s="47">
        <f>C39-(C31-C34-C32)</f>
        <v>404543.68509430252</v>
      </c>
      <c r="D36" s="47">
        <f t="shared" ref="D36" si="0">D39-(D31-D34-D32)</f>
        <v>155075.07928614924</v>
      </c>
      <c r="E36"/>
      <c r="Y36"/>
      <c r="Z36"/>
      <c r="AA36"/>
      <c r="AB36"/>
      <c r="AC36"/>
      <c r="AD36"/>
      <c r="AE36"/>
      <c r="AF36"/>
    </row>
    <row r="37" spans="2:32" s="29" customFormat="1" ht="16.2" x14ac:dyDescent="0.3">
      <c r="B37" s="9" t="s">
        <v>43</v>
      </c>
      <c r="C37" s="44">
        <f>PMT(C35/12,$D$14,(C31-C32)*-1,C34,1)</f>
        <v>32338.996719732317</v>
      </c>
      <c r="D37" s="44">
        <f>PMT(D35/12,$D$14,(D31-D32)*-1,D34,1)</f>
        <v>12396.615409230722</v>
      </c>
      <c r="E37"/>
      <c r="Y37"/>
      <c r="Z37"/>
      <c r="AA37"/>
      <c r="AB37"/>
      <c r="AC37"/>
      <c r="AD37"/>
      <c r="AE37"/>
      <c r="AF37"/>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s="103"/>
      <c r="K39" s="31"/>
      <c r="L39" s="31"/>
      <c r="M39" s="31"/>
      <c r="O39" s="32"/>
      <c r="Y39"/>
      <c r="Z39"/>
      <c r="AA39"/>
      <c r="AB39"/>
      <c r="AC39"/>
      <c r="AD39"/>
      <c r="AE39"/>
      <c r="AF39"/>
    </row>
    <row r="40" spans="2:32" s="29" customFormat="1" x14ac:dyDescent="0.3">
      <c r="B40" s="87" t="s">
        <v>27</v>
      </c>
      <c r="C40" s="87"/>
      <c r="D40" s="87"/>
      <c r="E40"/>
      <c r="H40" s="30" t="s">
        <v>130</v>
      </c>
      <c r="I40" s="30" t="s">
        <v>27</v>
      </c>
      <c r="J40" s="3" t="s">
        <v>225</v>
      </c>
      <c r="Y40"/>
      <c r="Z40"/>
      <c r="AA40"/>
      <c r="AB40"/>
      <c r="AC40"/>
      <c r="AD40"/>
      <c r="AE40"/>
      <c r="AF40"/>
    </row>
    <row r="41" spans="2:32" s="29" customFormat="1" x14ac:dyDescent="0.3">
      <c r="B41" s="8" t="s">
        <v>136</v>
      </c>
      <c r="C41" s="160">
        <f>Virksomhedssetup!D40</f>
        <v>50</v>
      </c>
      <c r="D41" s="70"/>
      <c r="E41"/>
      <c r="F41" s="295" t="s">
        <v>31</v>
      </c>
      <c r="G41" s="30" t="s">
        <v>14</v>
      </c>
      <c r="H41" s="31">
        <f>(C37)/D13</f>
        <v>4.3118662292976424</v>
      </c>
      <c r="I41" s="31">
        <f>C46/D13</f>
        <v>0.34499999999999997</v>
      </c>
      <c r="J41" s="36">
        <f>C56/$D$13</f>
        <v>4</v>
      </c>
      <c r="Y41"/>
      <c r="Z41"/>
      <c r="AA41"/>
      <c r="AB41"/>
      <c r="AC41"/>
      <c r="AD41"/>
      <c r="AE41"/>
      <c r="AF41"/>
    </row>
    <row r="42" spans="2:32" s="29" customFormat="1" x14ac:dyDescent="0.3">
      <c r="B42" s="8" t="s">
        <v>132</v>
      </c>
      <c r="C42" s="149">
        <f>Virksomhedssetup!D41</f>
        <v>150000</v>
      </c>
      <c r="D42" s="70"/>
      <c r="E42"/>
      <c r="F42" s="295"/>
      <c r="G42" s="30" t="s">
        <v>15</v>
      </c>
      <c r="H42" s="31">
        <f>D37/D13</f>
        <v>1.6528820545640963</v>
      </c>
      <c r="I42" s="31">
        <v>0</v>
      </c>
      <c r="J42">
        <f>D56/$D$13</f>
        <v>4</v>
      </c>
      <c r="Y42"/>
      <c r="Z42"/>
      <c r="AA42"/>
      <c r="AB42"/>
      <c r="AC42"/>
      <c r="AD42"/>
      <c r="AE42"/>
      <c r="AF42"/>
    </row>
    <row r="43" spans="2:32" s="29" customFormat="1" x14ac:dyDescent="0.3">
      <c r="B43" s="11" t="s">
        <v>131</v>
      </c>
      <c r="C43" s="160">
        <f>Virksomhedssetup!D42</f>
        <v>80</v>
      </c>
      <c r="D43" s="70"/>
      <c r="E43"/>
      <c r="F43" s="295"/>
      <c r="G43" s="30"/>
      <c r="H43" s="31"/>
      <c r="I43" s="31"/>
      <c r="J43"/>
      <c r="Y43"/>
      <c r="Z43"/>
      <c r="AA43"/>
      <c r="AB43"/>
      <c r="AC43"/>
      <c r="AD43"/>
      <c r="AE43"/>
      <c r="AF43"/>
    </row>
    <row r="44" spans="2:32" s="29" customFormat="1" x14ac:dyDescent="0.3">
      <c r="B44" s="80" t="s">
        <v>133</v>
      </c>
      <c r="C44" s="47">
        <f>(C43-25)*1200+16400</f>
        <v>82400</v>
      </c>
      <c r="D44" s="70"/>
      <c r="E44"/>
      <c r="F44" s="30" t="s">
        <v>24</v>
      </c>
      <c r="G44" s="30" t="s">
        <v>25</v>
      </c>
      <c r="H44" s="30" t="s">
        <v>22</v>
      </c>
      <c r="I44" s="30" t="s">
        <v>21</v>
      </c>
      <c r="Y44"/>
      <c r="Z44"/>
      <c r="AA44"/>
      <c r="AB44"/>
      <c r="AC44"/>
      <c r="AD44"/>
      <c r="AE44"/>
      <c r="AF44"/>
    </row>
    <row r="45" spans="2:32" s="29" customFormat="1" x14ac:dyDescent="0.3">
      <c r="B45" s="11" t="s">
        <v>178</v>
      </c>
      <c r="C45" s="149">
        <f>Virksomhedssetup!D44</f>
        <v>16000</v>
      </c>
      <c r="D45" s="70"/>
      <c r="E45"/>
      <c r="F45" s="31">
        <f>C66/D13</f>
        <v>1.3952430555555555</v>
      </c>
      <c r="G45" s="31">
        <f>C75/D13</f>
        <v>1.3414666666666666</v>
      </c>
      <c r="H45" s="31">
        <f>Afgifter!E77</f>
        <v>0.27557030593946463</v>
      </c>
      <c r="I45" s="29">
        <v>1E-14</v>
      </c>
      <c r="J45" s="32" t="str">
        <f>"Total "&amp;ROUND(H41+I41+F45+G45+H45+J41,2)</f>
        <v>Total 11,67</v>
      </c>
      <c r="Y45"/>
      <c r="Z45"/>
      <c r="AA45"/>
      <c r="AB45"/>
      <c r="AC45"/>
      <c r="AD45"/>
      <c r="AE45"/>
      <c r="AF45"/>
    </row>
    <row r="46" spans="2:32" s="29" customFormat="1" x14ac:dyDescent="0.3">
      <c r="B46" s="9" t="s">
        <v>169</v>
      </c>
      <c r="C46" s="18">
        <f>C47/12</f>
        <v>2587.5</v>
      </c>
      <c r="D46" s="18">
        <v>0</v>
      </c>
      <c r="E46"/>
      <c r="F46" s="31">
        <f>D66/D13</f>
        <v>3.3932000000000002</v>
      </c>
      <c r="G46" s="31">
        <f>D75/D13</f>
        <v>0.88906666666666667</v>
      </c>
      <c r="H46" s="31">
        <f>Afgifter!E78</f>
        <v>1.0053938974851282</v>
      </c>
      <c r="I46" s="29">
        <v>1E-14</v>
      </c>
      <c r="J46" s="32" t="str">
        <f>"Total "&amp;ROUND(H42+I42+F46+G46+H46+J42,2)</f>
        <v>Total 10,94</v>
      </c>
      <c r="Y46"/>
      <c r="Z46"/>
      <c r="AA46"/>
      <c r="AB46"/>
      <c r="AC46"/>
      <c r="AD46"/>
      <c r="AE46"/>
      <c r="AF46"/>
    </row>
    <row r="47" spans="2:32" s="29" customFormat="1" x14ac:dyDescent="0.3">
      <c r="B47" s="9" t="s">
        <v>170</v>
      </c>
      <c r="C47" s="18">
        <f>C48/D12</f>
        <v>31050</v>
      </c>
      <c r="D47" s="18">
        <v>0</v>
      </c>
      <c r="E47" s="41"/>
      <c r="F47"/>
      <c r="G47"/>
      <c r="H47"/>
      <c r="I47"/>
      <c r="J47"/>
      <c r="Y47"/>
      <c r="Z47"/>
      <c r="AA47"/>
      <c r="AB47"/>
      <c r="AC47"/>
      <c r="AD47"/>
      <c r="AE47"/>
      <c r="AF47"/>
    </row>
    <row r="48" spans="2:32" s="29" customFormat="1" x14ac:dyDescent="0.3">
      <c r="B48" s="9" t="s">
        <v>179</v>
      </c>
      <c r="C48" s="18">
        <f>C42+C44+C45</f>
        <v>248400</v>
      </c>
      <c r="D48" s="18">
        <v>0</v>
      </c>
      <c r="E48" s="41"/>
      <c r="F48"/>
      <c r="G48"/>
      <c r="H48"/>
      <c r="I48"/>
      <c r="J48"/>
      <c r="Y48"/>
      <c r="Z48"/>
      <c r="AA48"/>
      <c r="AB48"/>
      <c r="AC48"/>
      <c r="AD48"/>
      <c r="AE48"/>
      <c r="AF48"/>
    </row>
    <row r="49" spans="2:32" s="29" customFormat="1" x14ac:dyDescent="0.3">
      <c r="B49" s="28" t="s">
        <v>9</v>
      </c>
      <c r="C49" s="28"/>
      <c r="D49" s="28"/>
      <c r="E49" s="41"/>
      <c r="F49"/>
      <c r="G49"/>
      <c r="H49"/>
      <c r="I49"/>
      <c r="J49"/>
      <c r="Y49"/>
      <c r="Z49"/>
      <c r="AA49"/>
      <c r="AB49"/>
      <c r="AC49"/>
      <c r="AD49"/>
      <c r="AE49"/>
      <c r="AF49"/>
    </row>
    <row r="50" spans="2:32" s="29" customFormat="1" x14ac:dyDescent="0.3">
      <c r="B50" s="87" t="s">
        <v>126</v>
      </c>
      <c r="C50" s="87"/>
      <c r="D50" s="87"/>
      <c r="E50" s="41"/>
      <c r="Y50"/>
      <c r="Z50"/>
      <c r="AA50"/>
      <c r="AB50"/>
      <c r="AC50"/>
      <c r="AD50"/>
      <c r="AE50"/>
      <c r="AF50"/>
    </row>
    <row r="51" spans="2:32" s="29" customFormat="1" x14ac:dyDescent="0.3">
      <c r="B51" s="8" t="s">
        <v>127</v>
      </c>
      <c r="C51" s="149">
        <f>Virksomhedssetup!D47</f>
        <v>30000</v>
      </c>
      <c r="D51" s="149">
        <f>Virksomhedssetup!E47</f>
        <v>30000</v>
      </c>
      <c r="E51" s="41"/>
      <c r="Y51"/>
      <c r="Z51"/>
      <c r="AA51"/>
      <c r="AB51"/>
      <c r="AC51"/>
      <c r="AD51"/>
      <c r="AE51"/>
      <c r="AF51"/>
    </row>
    <row r="52" spans="2:32" s="29" customFormat="1" x14ac:dyDescent="0.3">
      <c r="B52" s="8" t="s">
        <v>137</v>
      </c>
      <c r="C52" s="150">
        <f>Virksomhedssetup!D48</f>
        <v>9</v>
      </c>
      <c r="D52" s="150">
        <f>Virksomhedssetup!E48</f>
        <v>9</v>
      </c>
      <c r="E52" s="41"/>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 t="shared" ref="D57" si="1">D56*12</f>
        <v>360000</v>
      </c>
      <c r="E57" s="41"/>
      <c r="Y57"/>
      <c r="Z57"/>
      <c r="AA57"/>
      <c r="AB57"/>
      <c r="AC57"/>
      <c r="AD57"/>
      <c r="AE57"/>
      <c r="AF57"/>
    </row>
    <row r="58" spans="2:32" s="29" customFormat="1" x14ac:dyDescent="0.3">
      <c r="B58" s="9" t="s">
        <v>173</v>
      </c>
      <c r="C58" s="18">
        <f>C57*$D$12</f>
        <v>2880000</v>
      </c>
      <c r="D58" s="18">
        <f>D57*$D$12</f>
        <v>2880000</v>
      </c>
      <c r="E58" s="41"/>
      <c r="H58"/>
      <c r="I58"/>
      <c r="J58"/>
      <c r="Y58"/>
      <c r="Z58"/>
      <c r="AA58"/>
      <c r="AB58"/>
      <c r="AC58"/>
      <c r="AD58"/>
      <c r="AE58"/>
      <c r="AF58"/>
    </row>
    <row r="59" spans="2:32" s="29" customFormat="1" x14ac:dyDescent="0.3">
      <c r="B59" s="87" t="s">
        <v>24</v>
      </c>
      <c r="C59" s="87"/>
      <c r="D59" s="87"/>
      <c r="E59" s="41"/>
      <c r="H59"/>
      <c r="I59"/>
      <c r="J59"/>
      <c r="Y59"/>
      <c r="Z59"/>
      <c r="AA59"/>
      <c r="AB59"/>
      <c r="AC59"/>
      <c r="AD59"/>
      <c r="AE59"/>
      <c r="AF59"/>
    </row>
    <row r="60" spans="2:32" s="29" customFormat="1" x14ac:dyDescent="0.3">
      <c r="B60" s="8" t="s">
        <v>208</v>
      </c>
      <c r="C60" s="153">
        <f>Virksomhedssetup!D53</f>
        <v>1.0732638888888888</v>
      </c>
      <c r="D60" s="153">
        <f>Virksomhedssetup!E53</f>
        <v>11.4</v>
      </c>
      <c r="E60" s="41"/>
      <c r="H60" s="30"/>
      <c r="I60" s="30"/>
      <c r="J60" s="30"/>
      <c r="Y60"/>
      <c r="Z60"/>
      <c r="AA60"/>
      <c r="AB60"/>
      <c r="AC60"/>
      <c r="AD60"/>
      <c r="AE60"/>
      <c r="AF60"/>
    </row>
    <row r="61" spans="2:32" s="29" customFormat="1" x14ac:dyDescent="0.3">
      <c r="B61" s="8" t="s">
        <v>45</v>
      </c>
      <c r="C61" s="17"/>
      <c r="D61" s="153">
        <f>Virksomhedssetup!E54</f>
        <v>0.11</v>
      </c>
      <c r="E61" s="41"/>
      <c r="H61" s="30"/>
      <c r="I61" s="30"/>
      <c r="J61" s="30"/>
      <c r="Y61"/>
      <c r="Z61"/>
      <c r="AA61"/>
      <c r="AB61"/>
      <c r="AC61"/>
      <c r="AD61"/>
      <c r="AE61"/>
      <c r="AF61"/>
    </row>
    <row r="62" spans="2:32" s="29" customFormat="1" x14ac:dyDescent="0.3">
      <c r="B62" s="5" t="s">
        <v>75</v>
      </c>
      <c r="C62" s="47">
        <f>(((D11/12)/100)*C63)*($C$22*C60)</f>
        <v>10464.322916666666</v>
      </c>
      <c r="D62" s="17"/>
      <c r="E62" s="41"/>
      <c r="H62" s="30"/>
      <c r="I62" s="30"/>
      <c r="J62" s="30"/>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Y68"/>
      <c r="Z68"/>
      <c r="AA68"/>
      <c r="AB68"/>
      <c r="AC68"/>
      <c r="AD68"/>
      <c r="AE68"/>
      <c r="AF68"/>
    </row>
    <row r="69" spans="2:32" s="29" customFormat="1" x14ac:dyDescent="0.3">
      <c r="B69" s="87" t="s">
        <v>25</v>
      </c>
      <c r="C69" s="87"/>
      <c r="D69" s="87"/>
      <c r="E69" s="41"/>
      <c r="Y69"/>
      <c r="Z69"/>
      <c r="AA69"/>
      <c r="AB69"/>
      <c r="AC69"/>
      <c r="AD69"/>
      <c r="AE69"/>
      <c r="AF69"/>
    </row>
    <row r="70" spans="2:32" s="29" customFormat="1" x14ac:dyDescent="0.3">
      <c r="B70" s="8" t="s">
        <v>88</v>
      </c>
      <c r="C70" s="149">
        <f>Virksomhedssetup!D61</f>
        <v>7685</v>
      </c>
      <c r="D70" s="149">
        <f>Virksomhedssetup!E61</f>
        <v>5000</v>
      </c>
      <c r="E70" s="41"/>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41"/>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F75"/>
      <c r="G75"/>
      <c r="H75"/>
      <c r="I75"/>
      <c r="J75"/>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F77" s="41"/>
      <c r="G77" s="41"/>
      <c r="H77" s="41"/>
      <c r="I77" s="41"/>
      <c r="J77" s="41"/>
      <c r="Y77"/>
      <c r="Z77"/>
      <c r="AA77"/>
      <c r="AB77"/>
      <c r="AC77"/>
      <c r="AD77"/>
      <c r="AE77"/>
      <c r="AF77"/>
    </row>
    <row r="78" spans="2:32" s="29" customFormat="1" x14ac:dyDescent="0.3">
      <c r="B78" s="249" t="s">
        <v>175</v>
      </c>
      <c r="C78" s="249"/>
      <c r="D78" s="249"/>
      <c r="E78" s="41"/>
      <c r="F78" s="41"/>
      <c r="G78" s="41"/>
      <c r="H78" s="41"/>
      <c r="I78" s="41"/>
      <c r="J78" s="41"/>
      <c r="Y78"/>
      <c r="Z78"/>
      <c r="AA78"/>
      <c r="AB78"/>
      <c r="AC78"/>
      <c r="AD78"/>
      <c r="AE78"/>
      <c r="AF78"/>
    </row>
    <row r="79" spans="2:32" s="29" customFormat="1" x14ac:dyDescent="0.3">
      <c r="B79" s="8" t="s">
        <v>240</v>
      </c>
      <c r="C79" s="149">
        <f>Virksomhedssetup!D67</f>
        <v>29</v>
      </c>
      <c r="D79" s="149">
        <f>Virksomhedssetup!E67</f>
        <v>29</v>
      </c>
      <c r="E79" s="41"/>
      <c r="F79" s="41"/>
      <c r="G79" s="41"/>
      <c r="H79" s="41"/>
      <c r="I79" s="41"/>
      <c r="J79" s="41"/>
      <c r="Y79"/>
      <c r="Z79"/>
      <c r="AA79"/>
      <c r="AB79"/>
      <c r="AC79"/>
      <c r="AD79"/>
      <c r="AE79"/>
      <c r="AF79"/>
    </row>
    <row r="80" spans="2:32" s="29" customFormat="1" x14ac:dyDescent="0.3">
      <c r="B80" s="8" t="s">
        <v>242</v>
      </c>
      <c r="C80" s="156">
        <f>Virksomhedssetup!D68</f>
        <v>1.4999999999999999E-2</v>
      </c>
      <c r="D80" s="156">
        <f>Virksomhedssetup!E68</f>
        <v>1.4999999999999999E-2</v>
      </c>
      <c r="E80" s="41"/>
      <c r="F80" s="41"/>
      <c r="G80" s="41"/>
      <c r="H80" s="41"/>
      <c r="I80" s="41"/>
      <c r="J80" s="41"/>
      <c r="Y80"/>
      <c r="Z80"/>
      <c r="AA80"/>
      <c r="AB80"/>
      <c r="AC80"/>
      <c r="AD80"/>
      <c r="AE80"/>
      <c r="AF80"/>
    </row>
    <row r="81" spans="2:32" s="29" customFormat="1" x14ac:dyDescent="0.3">
      <c r="B81" s="5" t="s">
        <v>241</v>
      </c>
      <c r="C81" s="45">
        <f>((H41+I41+J41+F45+G45)*C80)*D13</f>
        <v>1281.7772945459847</v>
      </c>
      <c r="D81" s="45">
        <f>((H42+I42+J42+F46+G46)*D80)*D13</f>
        <v>1117.7042311384607</v>
      </c>
      <c r="E81" s="41"/>
      <c r="F81" s="41"/>
      <c r="G81" s="41"/>
      <c r="H81" s="41"/>
      <c r="I81" s="41"/>
      <c r="J81" s="41"/>
      <c r="Y81"/>
      <c r="Z81"/>
      <c r="AA81"/>
      <c r="AB81"/>
      <c r="AC81"/>
      <c r="AD81"/>
      <c r="AE81"/>
      <c r="AF81"/>
    </row>
    <row r="82" spans="2:32" s="29" customFormat="1" ht="16.2" x14ac:dyDescent="0.45">
      <c r="B82" s="9" t="s">
        <v>47</v>
      </c>
      <c r="C82" s="40">
        <f>C81+C79</f>
        <v>1310.7772945459847</v>
      </c>
      <c r="D82" s="40">
        <f>D81+D79</f>
        <v>1146.7042311384607</v>
      </c>
      <c r="E82" s="41"/>
      <c r="F82" s="41"/>
      <c r="G82" s="41"/>
      <c r="H82" s="41"/>
      <c r="I82" s="41"/>
      <c r="J82" s="41"/>
      <c r="Y82"/>
      <c r="Z82"/>
      <c r="AA82"/>
      <c r="AB82"/>
      <c r="AC82"/>
      <c r="AD82"/>
      <c r="AE82"/>
      <c r="AF82"/>
    </row>
    <row r="83" spans="2:32" s="29" customFormat="1" ht="16.2" x14ac:dyDescent="0.45">
      <c r="B83" s="9" t="s">
        <v>48</v>
      </c>
      <c r="C83" s="40">
        <f>C82*12</f>
        <v>15729.327534551816</v>
      </c>
      <c r="D83" s="40">
        <f>D82*12</f>
        <v>13760.450773661529</v>
      </c>
      <c r="E83" s="41"/>
      <c r="F83" s="41"/>
      <c r="G83" s="41"/>
      <c r="H83" s="41"/>
      <c r="I83" s="41"/>
      <c r="J83" s="41"/>
      <c r="Y83"/>
      <c r="Z83"/>
      <c r="AA83"/>
      <c r="AB83"/>
      <c r="AC83"/>
      <c r="AD83"/>
      <c r="AE83"/>
      <c r="AF83"/>
    </row>
    <row r="84" spans="2:32" s="29" customFormat="1" ht="16.2" x14ac:dyDescent="0.45">
      <c r="B84" s="9" t="s">
        <v>79</v>
      </c>
      <c r="C84" s="40">
        <f>C83*$D$12</f>
        <v>125834.62027641453</v>
      </c>
      <c r="D84" s="40">
        <f>D83*$D$12</f>
        <v>110083.60618929223</v>
      </c>
      <c r="E84"/>
      <c r="F84"/>
      <c r="G84"/>
      <c r="H84"/>
      <c r="I84"/>
      <c r="J84"/>
      <c r="Y84"/>
      <c r="Z84"/>
      <c r="AA84"/>
      <c r="AB84"/>
      <c r="AC84"/>
      <c r="AD84"/>
      <c r="AE84"/>
      <c r="AF84"/>
    </row>
    <row r="85" spans="2:32" s="29" customFormat="1" x14ac:dyDescent="0.3">
      <c r="B85" s="297" t="s">
        <v>33</v>
      </c>
      <c r="C85" s="297"/>
      <c r="D85" s="297"/>
      <c r="E85"/>
      <c r="F85"/>
      <c r="G85"/>
      <c r="H85"/>
      <c r="I85"/>
      <c r="J85"/>
      <c r="Y85"/>
      <c r="Z85"/>
      <c r="AA85"/>
      <c r="AB85"/>
      <c r="AC85"/>
      <c r="AD85"/>
      <c r="AE85"/>
      <c r="AF85"/>
    </row>
    <row r="86" spans="2:32" s="29" customFormat="1" x14ac:dyDescent="0.3">
      <c r="B86" s="9" t="s">
        <v>49</v>
      </c>
      <c r="C86" s="18">
        <f t="shared" ref="C86:D88" si="2">C37+C46+C56+C66+C75+C82</f>
        <v>86762.596930944972</v>
      </c>
      <c r="D86" s="18">
        <f t="shared" si="2"/>
        <v>75660.319640369184</v>
      </c>
      <c r="E86"/>
      <c r="F86"/>
      <c r="G86"/>
      <c r="H86"/>
      <c r="I86"/>
      <c r="J86"/>
      <c r="Y86"/>
      <c r="Z86"/>
      <c r="AA86"/>
      <c r="AB86"/>
      <c r="AC86"/>
      <c r="AD86"/>
      <c r="AE86"/>
      <c r="AF86"/>
    </row>
    <row r="87" spans="2:32" s="29" customFormat="1" x14ac:dyDescent="0.3">
      <c r="B87" s="9" t="s">
        <v>50</v>
      </c>
      <c r="C87" s="18">
        <f t="shared" si="2"/>
        <v>1041151.1631713397</v>
      </c>
      <c r="D87" s="18">
        <f t="shared" si="2"/>
        <v>907923.83568443009</v>
      </c>
      <c r="E87"/>
      <c r="F87"/>
      <c r="G87"/>
      <c r="H87"/>
      <c r="I87"/>
      <c r="J87"/>
      <c r="Y87"/>
      <c r="Z87"/>
      <c r="AA87"/>
      <c r="AB87"/>
      <c r="AC87"/>
      <c r="AD87"/>
      <c r="AE87"/>
      <c r="AF87"/>
    </row>
    <row r="88" spans="2:32" x14ac:dyDescent="0.3">
      <c r="B88" s="9" t="s">
        <v>69</v>
      </c>
      <c r="C88" s="18">
        <f t="shared" si="2"/>
        <v>8329209.3053707173</v>
      </c>
      <c r="D88" s="18">
        <f t="shared" si="2"/>
        <v>7263390.6854754407</v>
      </c>
    </row>
    <row r="96" spans="2:32" x14ac:dyDescent="0.3">
      <c r="AF96" s="29"/>
    </row>
    <row r="106" spans="5:6" x14ac:dyDescent="0.3">
      <c r="E106" s="36"/>
    </row>
    <row r="109" spans="5:6" x14ac:dyDescent="0.3">
      <c r="F109" s="10"/>
    </row>
  </sheetData>
  <sheetProtection sheet="1" objects="1" scenarios="1" selectLockedCells="1"/>
  <mergeCells count="30">
    <mergeCell ref="B2:D2"/>
    <mergeCell ref="P6:R6"/>
    <mergeCell ref="P7:R7"/>
    <mergeCell ref="P8:R8"/>
    <mergeCell ref="P3:R3"/>
    <mergeCell ref="P5:R5"/>
    <mergeCell ref="P4:S4"/>
    <mergeCell ref="B5:C5"/>
    <mergeCell ref="B6:C6"/>
    <mergeCell ref="B7:C7"/>
    <mergeCell ref="B8:C8"/>
    <mergeCell ref="G6:H6"/>
    <mergeCell ref="F5:I5"/>
    <mergeCell ref="F2:I2"/>
    <mergeCell ref="F3:I3"/>
    <mergeCell ref="P2:S2"/>
    <mergeCell ref="B4:D4"/>
    <mergeCell ref="P12:S12"/>
    <mergeCell ref="P11:S11"/>
    <mergeCell ref="P13:R13"/>
    <mergeCell ref="P14:R14"/>
    <mergeCell ref="G8:H8"/>
    <mergeCell ref="G7:H7"/>
    <mergeCell ref="G9:H9"/>
    <mergeCell ref="G10:H10"/>
    <mergeCell ref="P16:R16"/>
    <mergeCell ref="F41:F43"/>
    <mergeCell ref="B85:D85"/>
    <mergeCell ref="B78:D78"/>
    <mergeCell ref="P15:R15"/>
  </mergeCells>
  <conditionalFormatting sqref="G10 I10">
    <cfRule type="colorScale" priority="4">
      <colorScale>
        <cfvo type="min"/>
        <cfvo type="percentile" val="50"/>
        <cfvo type="max"/>
        <color rgb="FF63BE7B"/>
        <color rgb="FFFFEB84"/>
        <color rgb="FFF8696B"/>
      </colorScale>
    </cfRule>
  </conditionalFormatting>
  <conditionalFormatting sqref="G7:I7">
    <cfRule type="colorScale" priority="3">
      <colorScale>
        <cfvo type="min"/>
        <cfvo type="percentile" val="50"/>
        <cfvo type="max"/>
        <color rgb="FF63BE7B"/>
        <color rgb="FFFFEB84"/>
        <color rgb="FFF8696B"/>
      </colorScale>
    </cfRule>
  </conditionalFormatting>
  <conditionalFormatting sqref="G8:I8">
    <cfRule type="colorScale" priority="2">
      <colorScale>
        <cfvo type="min"/>
        <cfvo type="percentile" val="50"/>
        <cfvo type="max"/>
        <color rgb="FF63BE7B"/>
        <color rgb="FFFFEB84"/>
        <color rgb="FFF8696B"/>
      </colorScale>
    </cfRule>
  </conditionalFormatting>
  <conditionalFormatting sqref="G9:I9">
    <cfRule type="colorScale" priority="1">
      <colorScale>
        <cfvo type="min"/>
        <cfvo type="percentile" val="50"/>
        <cfvo type="max"/>
        <color rgb="FF63BE7B"/>
        <color rgb="FFFFEB84"/>
        <color rgb="FFF8696B"/>
      </colorScale>
    </cfRule>
  </conditionalFormatting>
  <conditionalFormatting sqref="S5">
    <cfRule type="colorScale" priority="37">
      <colorScale>
        <cfvo type="min"/>
        <cfvo type="num" val="0"/>
        <cfvo type="max"/>
        <color rgb="FFFF0000"/>
        <color theme="0"/>
        <color rgb="FF00B050"/>
      </colorScale>
    </cfRule>
    <cfRule type="colorScale" priority="39">
      <colorScale>
        <cfvo type="min"/>
        <cfvo type="num" val="0"/>
        <cfvo type="max"/>
        <color rgb="FFFF0000"/>
        <color rgb="FFFFEB84"/>
        <color rgb="FF00B050"/>
      </colorScale>
    </cfRule>
    <cfRule type="colorScale" priority="40">
      <colorScale>
        <cfvo type="min"/>
        <cfvo type="num" val="0"/>
        <cfvo type="max"/>
        <color rgb="FFFF0000"/>
        <color theme="0"/>
        <color rgb="FF00B050"/>
      </colorScale>
    </cfRule>
  </conditionalFormatting>
  <conditionalFormatting sqref="S6:S8">
    <cfRule type="colorScale" priority="43">
      <colorScale>
        <cfvo type="num" val="-1"/>
        <cfvo type="num" val="0"/>
        <cfvo type="num" val="1"/>
        <color rgb="FFFF0000"/>
        <color rgb="FFFFFF00"/>
        <color rgb="FF00B050"/>
      </colorScale>
    </cfRule>
    <cfRule type="colorScale" priority="44">
      <colorScale>
        <cfvo type="min"/>
        <cfvo type="num" val="0"/>
        <cfvo type="max"/>
        <color rgb="FFFF0000"/>
        <color rgb="FFFFFF00"/>
        <color rgb="FF00B050"/>
      </colorScale>
    </cfRule>
  </conditionalFormatting>
  <hyperlinks>
    <hyperlink ref="F3" r:id="rId1" display="Har du spørgsmål til beregningen kan du henvende dig til lucas.perkild@regionh.dk" xr:uid="{AAFC4A86-B006-4C0A-9060-C13420E3CE41}"/>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4F39-9753-4E70-85B9-449245213C98}">
  <sheetPr codeName="Sheet12">
    <tabColor rgb="FFFFC000"/>
  </sheetPr>
  <dimension ref="B2:AF109"/>
  <sheetViews>
    <sheetView showGridLines="0" zoomScaleNormal="100" workbookViewId="0">
      <selection activeCell="C20" sqref="C20"/>
    </sheetView>
  </sheetViews>
  <sheetFormatPr defaultColWidth="8.88671875" defaultRowHeight="14.4" x14ac:dyDescent="0.3"/>
  <cols>
    <col min="1" max="1" width="2.21875" customWidth="1"/>
    <col min="2" max="2" width="52.88671875" bestFit="1" customWidth="1"/>
    <col min="3" max="4" width="13.88671875" bestFit="1" customWidth="1"/>
    <col min="5" max="5" width="12.109375" customWidth="1"/>
    <col min="6" max="6" width="29.5546875" bestFit="1" customWidth="1"/>
    <col min="7" max="7" width="19.109375" bestFit="1" customWidth="1"/>
    <col min="8" max="8" width="7.88671875" bestFit="1" customWidth="1"/>
    <col min="9" max="9" width="34.6640625" bestFit="1" customWidth="1"/>
    <col min="10" max="10" width="17.5546875" bestFit="1" customWidth="1"/>
    <col min="11" max="24" width="8.88671875" style="29"/>
  </cols>
  <sheetData>
    <row r="2" spans="2:19" ht="25.8" x14ac:dyDescent="0.5">
      <c r="B2" s="279" t="s">
        <v>93</v>
      </c>
      <c r="C2" s="280"/>
      <c r="D2" s="281"/>
      <c r="E2" s="6"/>
      <c r="F2" s="237" t="s">
        <v>6</v>
      </c>
      <c r="G2" s="237"/>
      <c r="H2" s="237"/>
      <c r="I2" s="237"/>
      <c r="P2" s="234" t="s">
        <v>80</v>
      </c>
      <c r="Q2" s="234"/>
      <c r="R2" s="234"/>
      <c r="S2" s="234"/>
    </row>
    <row r="3" spans="2:19" x14ac:dyDescent="0.3">
      <c r="F3" s="282" t="s">
        <v>176</v>
      </c>
      <c r="G3" s="282"/>
      <c r="H3" s="282"/>
      <c r="I3" s="282"/>
      <c r="P3" s="234" t="s">
        <v>19</v>
      </c>
      <c r="Q3" s="234"/>
      <c r="R3" s="234"/>
      <c r="S3" s="28" t="s">
        <v>81</v>
      </c>
    </row>
    <row r="4" spans="2:19" ht="18" x14ac:dyDescent="0.35">
      <c r="B4" s="283" t="s">
        <v>3</v>
      </c>
      <c r="C4" s="284"/>
      <c r="D4" s="285"/>
      <c r="P4" s="286" t="s">
        <v>87</v>
      </c>
      <c r="Q4" s="286"/>
      <c r="R4" s="286"/>
      <c r="S4" s="286"/>
    </row>
    <row r="5" spans="2:19" x14ac:dyDescent="0.3">
      <c r="B5" s="276" t="s">
        <v>68</v>
      </c>
      <c r="C5" s="278"/>
      <c r="D5" s="2"/>
      <c r="F5" s="244" t="s">
        <v>237</v>
      </c>
      <c r="G5" s="245"/>
      <c r="H5" s="245"/>
      <c r="I5" s="246"/>
      <c r="P5" s="287" t="s">
        <v>67</v>
      </c>
      <c r="Q5" s="287"/>
      <c r="R5" s="287"/>
      <c r="S5" s="58">
        <f>(H42+I42+F46+G46+H46)-(H41+I41+F45+G45+H45)</f>
        <v>-0.72860363874343737</v>
      </c>
    </row>
    <row r="6" spans="2:19" ht="16.2" x14ac:dyDescent="0.45">
      <c r="B6" s="276" t="s">
        <v>4</v>
      </c>
      <c r="C6" s="278"/>
      <c r="D6" s="4"/>
      <c r="F6" s="20"/>
      <c r="G6" s="244" t="s">
        <v>114</v>
      </c>
      <c r="H6" s="246"/>
      <c r="I6" s="28" t="s">
        <v>15</v>
      </c>
      <c r="P6" s="287" t="s">
        <v>49</v>
      </c>
      <c r="Q6" s="287"/>
      <c r="R6" s="287"/>
      <c r="S6" s="43">
        <f>$D$86-$C$86</f>
        <v>-11102.277290575788</v>
      </c>
    </row>
    <row r="7" spans="2:19" ht="16.2" x14ac:dyDescent="0.45">
      <c r="B7" s="276" t="s">
        <v>5</v>
      </c>
      <c r="C7" s="278"/>
      <c r="D7" s="8"/>
      <c r="E7" s="3"/>
      <c r="F7" s="94" t="s">
        <v>30</v>
      </c>
      <c r="G7" s="305">
        <f>(H41+I41+J41+F45+G45+H45)</f>
        <v>11.669146257459328</v>
      </c>
      <c r="H7" s="306"/>
      <c r="I7" s="104">
        <f>(H42+I42+J42+F46+G46+H46)</f>
        <v>10.94054261871589</v>
      </c>
      <c r="P7" s="287" t="s">
        <v>50</v>
      </c>
      <c r="Q7" s="287"/>
      <c r="R7" s="287"/>
      <c r="S7" s="43">
        <f>$D$87-$C$87</f>
        <v>-133227.32748690958</v>
      </c>
    </row>
    <row r="8" spans="2:19" ht="16.2" x14ac:dyDescent="0.45">
      <c r="B8" s="276" t="s">
        <v>23</v>
      </c>
      <c r="C8" s="278"/>
      <c r="D8" s="5"/>
      <c r="E8" s="7"/>
      <c r="F8" s="94" t="s">
        <v>236</v>
      </c>
      <c r="G8" s="305">
        <f>H45</f>
        <v>0.27557030593946463</v>
      </c>
      <c r="H8" s="306"/>
      <c r="I8" s="104">
        <f>H46</f>
        <v>1.0053938974851282</v>
      </c>
      <c r="P8" s="287" t="s">
        <v>69</v>
      </c>
      <c r="Q8" s="287"/>
      <c r="R8" s="287"/>
      <c r="S8" s="43">
        <f>$D$88-$C$88</f>
        <v>-1065818.6198952766</v>
      </c>
    </row>
    <row r="9" spans="2:19" x14ac:dyDescent="0.3">
      <c r="F9" s="94" t="s">
        <v>223</v>
      </c>
      <c r="G9" s="307">
        <f>(G8/G7)*100</f>
        <v>2.3615292829439891</v>
      </c>
      <c r="H9" s="308"/>
      <c r="I9" s="133">
        <f>(I8/I7)*100</f>
        <v>9.1896163885437439</v>
      </c>
      <c r="P9"/>
      <c r="Q9"/>
      <c r="R9"/>
      <c r="S9"/>
    </row>
    <row r="10" spans="2:19" x14ac:dyDescent="0.3">
      <c r="F10" s="94" t="s">
        <v>232</v>
      </c>
      <c r="G10" s="300">
        <f>H45/((H41+I41+J41+F45+G45))*100</f>
        <v>2.4186463241393894</v>
      </c>
      <c r="H10" s="301"/>
      <c r="I10" s="133">
        <f>H46/(H42+I42+J42+F46+G46)*100</f>
        <v>10.119565652164495</v>
      </c>
      <c r="P10"/>
      <c r="Q10"/>
      <c r="R10"/>
      <c r="S10"/>
    </row>
    <row r="11" spans="2:19" x14ac:dyDescent="0.3">
      <c r="B11" s="298" t="s">
        <v>10</v>
      </c>
      <c r="C11" s="299"/>
      <c r="D11" s="69">
        <f>Virksomhedssetup!E10</f>
        <v>90000</v>
      </c>
      <c r="P11" s="312" t="s">
        <v>20</v>
      </c>
      <c r="Q11" s="313"/>
      <c r="R11" s="313"/>
      <c r="S11" s="314"/>
    </row>
    <row r="12" spans="2:19" x14ac:dyDescent="0.3">
      <c r="B12" s="298" t="s">
        <v>71</v>
      </c>
      <c r="C12" s="299"/>
      <c r="D12" s="69">
        <f>Virksomhedssetup!E11</f>
        <v>8</v>
      </c>
      <c r="P12" s="309" t="s">
        <v>82</v>
      </c>
      <c r="Q12" s="310"/>
      <c r="R12" s="310"/>
      <c r="S12" s="311"/>
    </row>
    <row r="13" spans="2:19" x14ac:dyDescent="0.3">
      <c r="B13" s="298" t="s">
        <v>128</v>
      </c>
      <c r="C13" s="299"/>
      <c r="D13" s="69">
        <f>Virksomhedssetup!E12</f>
        <v>7500</v>
      </c>
      <c r="P13" s="199" t="s">
        <v>83</v>
      </c>
      <c r="Q13" s="200"/>
      <c r="R13" s="201"/>
      <c r="S13" s="100">
        <f>D39-(C39+C48)</f>
        <v>-2162868.6058081533</v>
      </c>
    </row>
    <row r="14" spans="2:19" x14ac:dyDescent="0.3">
      <c r="B14" s="298" t="s">
        <v>129</v>
      </c>
      <c r="C14" s="299"/>
      <c r="D14" s="69">
        <f>Virksomhedssetup!E13</f>
        <v>96</v>
      </c>
      <c r="P14" s="199" t="s">
        <v>13</v>
      </c>
      <c r="Q14" s="200"/>
      <c r="R14" s="201"/>
      <c r="S14" s="100">
        <f>IF($D$12=1,'Dataark TCO'!P20*1,
IF($D$12=2,(('Dataark TCO'!P20+'Dataark TCO'!P25)/2),
IF($D$12=3,(('Dataark TCO'!P20+'Dataark TCO'!P25+'Dataark TCO'!P30)/3),
IF($D$12=4,(('Dataark TCO'!P20+'Dataark TCO'!P25+'Dataark TCO'!P30+'Dataark TCO'!P35)/4),
IF($D$12=5,(('Dataark TCO'!P20+'Dataark TCO'!P25+'Dataark TCO'!P30+'Dataark TCO'!P35+'Dataark TCO'!P35)/5),
IF($D$12=6,(('Dataark TCO'!P20+'Dataark TCO'!P25+'Dataark TCO'!P30+'Dataark TCO'!P35+'Dataark TCO'!P35+'Dataark TCO'!P35)/6),
IF($D$12=7,(('Dataark TCO'!P20+'Dataark TCO'!P25+'Dataark TCO'!P30+'Dataark TCO'!P35+'Dataark TCO'!P35+'Dataark TCO'!P35+'Dataark TCO'!P35)/7),
IF($D$12=8,(('Dataark TCO'!P20+'Dataark TCO'!P25+'Dataark TCO'!P30+'Dataark TCO'!P35+'Dataark TCO'!P35+'Dataark TCO'!P35+'Dataark TCO'!P35+'Dataark TCO'!P35)/8),
IF($D$12=9,(('Dataark TCO'!P20+'Dataark TCO'!P25+'Dataark TCO'!P30+'Dataark TCO'!P35+'Dataark TCO'!P35+'Dataark TCO'!P35+'Dataark TCO'!P35+'Dataark TCO'!P35+'Dataark TCO'!P35)/9),
IF($D$12=10,(('Dataark TCO'!P20+'Dataark TCO'!P25+'Dataark TCO'!P30+'Dataark TCO'!P35+'Dataark TCO'!P35+'Dataark TCO'!P35+'Dataark TCO'!P35+'Dataark TCO'!P35+'Dataark TCO'!P35+'Dataark TCO'!P35)/10),
IF($D$12=11,(('Dataark TCO'!P20+'Dataark TCO'!P25+'Dataark TCO'!P30+'Dataark TCO'!P35+'Dataark TCO'!P35+'Dataark TCO'!P35+'Dataark TCO'!P35+'Dataark TCO'!P35+'Dataark TCO'!P35+'Dataark TCO'!P35+'Dataark TCO'!P35)/11),
IF($D$12=12,(('Dataark TCO'!P20+'Dataark TCO'!P25+'Dataark TCO'!P30+'Dataark TCO'!P35+'Dataark TCO'!P35+'Dataark TCO'!P35+'Dataark TCO'!P35+'Dataark TCO'!P35+'Dataark TCO'!P35+'Dataark TCO'!P35+'Dataark TCO'!P35+'Dataark TCO'!P35)/12),
IF($D$12=13,(('Dataark TCO'!P20+'Dataark TCO'!P25+'Dataark TCO'!P30+'Dataark TCO'!P35+'Dataark TCO'!P35+'Dataark TCO'!P35+'Dataark TCO'!P35+'Dataark TCO'!P35+'Dataark TCO'!P35+'Dataark TCO'!P35+'Dataark TCO'!P35+'Dataark TCO'!P35+'Dataark TCO'!P35)/13))))))))))))))</f>
        <v>17787.60401992581</v>
      </c>
    </row>
    <row r="15" spans="2:19" ht="16.2" x14ac:dyDescent="0.45">
      <c r="B15" s="298" t="s">
        <v>139</v>
      </c>
      <c r="C15" s="299"/>
      <c r="D15" s="69">
        <f>Virksomhedssetup!E14</f>
        <v>300</v>
      </c>
      <c r="P15" s="181" t="s">
        <v>2</v>
      </c>
      <c r="Q15" s="182"/>
      <c r="R15" s="183"/>
      <c r="S15" s="101">
        <f>(S13-S13-S13)/S14</f>
        <v>121.5941508134143</v>
      </c>
    </row>
    <row r="16" spans="2:19" ht="16.2" x14ac:dyDescent="0.45">
      <c r="B16" s="298" t="s">
        <v>138</v>
      </c>
      <c r="C16" s="299"/>
      <c r="D16" s="69">
        <f>Virksomhedssetup!E15</f>
        <v>300</v>
      </c>
      <c r="P16" s="181" t="s">
        <v>11</v>
      </c>
      <c r="Q16" s="182"/>
      <c r="R16" s="183"/>
      <c r="S16" s="102">
        <f>S15/12</f>
        <v>10.132845901117859</v>
      </c>
    </row>
    <row r="18" spans="2:4" x14ac:dyDescent="0.3">
      <c r="B18" s="28" t="s">
        <v>140</v>
      </c>
      <c r="C18" s="28"/>
      <c r="D18" s="28"/>
    </row>
    <row r="19" spans="2:4" x14ac:dyDescent="0.3">
      <c r="B19" s="20"/>
      <c r="C19" s="28" t="s">
        <v>0</v>
      </c>
      <c r="D19" s="28" t="s">
        <v>7</v>
      </c>
    </row>
    <row r="20" spans="2:4" x14ac:dyDescent="0.3">
      <c r="B20" s="8" t="s">
        <v>141</v>
      </c>
      <c r="C20" s="146">
        <f>Virksomhedssetup!D19</f>
        <v>550</v>
      </c>
      <c r="D20" s="68"/>
    </row>
    <row r="21" spans="2:4" x14ac:dyDescent="0.3">
      <c r="B21" s="8" t="s">
        <v>142</v>
      </c>
      <c r="C21" s="146">
        <f>Virksomhedssetup!D20</f>
        <v>300</v>
      </c>
      <c r="D21" s="68"/>
    </row>
    <row r="22" spans="2:4" x14ac:dyDescent="0.3">
      <c r="B22" s="8" t="s">
        <v>209</v>
      </c>
      <c r="C22" s="146">
        <f>Virksomhedssetup!D21</f>
        <v>1.3</v>
      </c>
      <c r="D22" s="146">
        <f>Virksomhedssetup!E21</f>
        <v>0.28799999999999998</v>
      </c>
    </row>
    <row r="23" spans="2:4" x14ac:dyDescent="0.3">
      <c r="B23" s="60" t="s">
        <v>143</v>
      </c>
      <c r="C23" s="147">
        <f>Virksomhedssetup!D22</f>
        <v>423.07692307692304</v>
      </c>
      <c r="D23" s="67"/>
    </row>
    <row r="25" spans="2:4" x14ac:dyDescent="0.3">
      <c r="B25" s="28" t="s">
        <v>19</v>
      </c>
      <c r="C25" s="28" t="s">
        <v>0</v>
      </c>
      <c r="D25" s="28" t="s">
        <v>7</v>
      </c>
    </row>
    <row r="26" spans="2:4" x14ac:dyDescent="0.3">
      <c r="B26" s="28" t="s">
        <v>8</v>
      </c>
      <c r="C26" s="28"/>
      <c r="D26" s="28"/>
    </row>
    <row r="27" spans="2:4" x14ac:dyDescent="0.3">
      <c r="B27" s="87" t="s">
        <v>130</v>
      </c>
      <c r="C27" s="87"/>
      <c r="D27" s="87"/>
    </row>
    <row r="28" spans="2:4" x14ac:dyDescent="0.3">
      <c r="B28" s="8" t="s">
        <v>38</v>
      </c>
      <c r="C28" s="149">
        <v>3000000</v>
      </c>
      <c r="D28" s="149">
        <f>Virksomhedssetup!E27</f>
        <v>1150000</v>
      </c>
    </row>
    <row r="29" spans="2:4" x14ac:dyDescent="0.3">
      <c r="B29" s="11" t="s">
        <v>37</v>
      </c>
      <c r="C29" s="149">
        <f>Virksomhedssetup!D28</f>
        <v>0</v>
      </c>
      <c r="D29" s="149">
        <f>Virksomhedssetup!E28</f>
        <v>0</v>
      </c>
    </row>
    <row r="30" spans="2:4" x14ac:dyDescent="0.3">
      <c r="B30" s="80" t="s">
        <v>36</v>
      </c>
      <c r="C30" s="83">
        <f>(C29/C28)*100</f>
        <v>0</v>
      </c>
      <c r="D30" s="83">
        <f>(D29/D28)*100</f>
        <v>0</v>
      </c>
    </row>
    <row r="31" spans="2:4" x14ac:dyDescent="0.3">
      <c r="B31" s="5" t="s">
        <v>39</v>
      </c>
      <c r="C31" s="47">
        <f>C28-C29</f>
        <v>3000000</v>
      </c>
      <c r="D31" s="47">
        <f>D28-D29</f>
        <v>1150000</v>
      </c>
    </row>
    <row r="32" spans="2:4" x14ac:dyDescent="0.3">
      <c r="B32" s="8" t="s">
        <v>40</v>
      </c>
      <c r="C32" s="149">
        <f>Virksomhedssetup!D31</f>
        <v>0</v>
      </c>
      <c r="D32" s="149">
        <f>Virksomhedssetup!E31</f>
        <v>0</v>
      </c>
    </row>
    <row r="33" spans="2:32" x14ac:dyDescent="0.3">
      <c r="B33" s="8" t="s">
        <v>41</v>
      </c>
      <c r="C33" s="158">
        <f>Virksomhedssetup!D32</f>
        <v>10</v>
      </c>
      <c r="D33" s="158">
        <f>Virksomhedssetup!E32</f>
        <v>10</v>
      </c>
    </row>
    <row r="34" spans="2:32" x14ac:dyDescent="0.3">
      <c r="B34" s="5" t="s">
        <v>70</v>
      </c>
      <c r="C34" s="47">
        <f>(C28/100)*C33</f>
        <v>300000</v>
      </c>
      <c r="D34" s="47">
        <f>(D28/100)*D33</f>
        <v>115000</v>
      </c>
    </row>
    <row r="35" spans="2:32" s="29" customFormat="1" x14ac:dyDescent="0.3">
      <c r="B35" s="8" t="s">
        <v>1</v>
      </c>
      <c r="C35" s="159">
        <f>Virksomhedssetup!D34</f>
        <v>0.03</v>
      </c>
      <c r="D35" s="159">
        <f>Virksomhedssetup!E34</f>
        <v>0.03</v>
      </c>
      <c r="E35"/>
      <c r="Y35"/>
      <c r="Z35"/>
      <c r="AA35"/>
      <c r="AB35"/>
      <c r="AC35"/>
      <c r="AD35"/>
      <c r="AE35"/>
      <c r="AF35"/>
    </row>
    <row r="36" spans="2:32" s="29" customFormat="1" x14ac:dyDescent="0.3">
      <c r="B36" s="5" t="s">
        <v>42</v>
      </c>
      <c r="C36" s="47">
        <f>C39-(C31-C34-C32)</f>
        <v>404543.68509430252</v>
      </c>
      <c r="D36" s="47">
        <f t="shared" ref="D36" si="0">D39-(D31-D34-D32)</f>
        <v>155075.07928614924</v>
      </c>
      <c r="E36"/>
      <c r="Y36"/>
      <c r="Z36"/>
      <c r="AA36"/>
      <c r="AB36"/>
      <c r="AC36"/>
      <c r="AD36"/>
      <c r="AE36"/>
      <c r="AF36"/>
    </row>
    <row r="37" spans="2:32" s="29" customFormat="1" ht="16.2" x14ac:dyDescent="0.3">
      <c r="B37" s="9" t="s">
        <v>43</v>
      </c>
      <c r="C37" s="44">
        <f>PMT(C35/12,$D$14,(C31-C32)*-1,C34,1)</f>
        <v>32338.996719732317</v>
      </c>
      <c r="D37" s="44">
        <f>PMT(D35/12,$D$14,(D31-D32)*-1,D34,1)</f>
        <v>12396.615409230722</v>
      </c>
      <c r="E37"/>
      <c r="Y37"/>
      <c r="Z37"/>
      <c r="AA37"/>
      <c r="AB37"/>
      <c r="AC37"/>
      <c r="AD37"/>
      <c r="AE37"/>
      <c r="AF37"/>
    </row>
    <row r="38" spans="2:32" s="29" customFormat="1" x14ac:dyDescent="0.3">
      <c r="B38" s="9" t="s">
        <v>44</v>
      </c>
      <c r="C38" s="18">
        <f>C37*12</f>
        <v>388067.96063678782</v>
      </c>
      <c r="D38" s="18">
        <f>D37*12</f>
        <v>148759.38491076865</v>
      </c>
      <c r="E38"/>
      <c r="Y38"/>
      <c r="Z38"/>
      <c r="AA38"/>
      <c r="AB38"/>
      <c r="AC38"/>
      <c r="AD38"/>
      <c r="AE38"/>
      <c r="AF38"/>
    </row>
    <row r="39" spans="2:32" s="29" customFormat="1" x14ac:dyDescent="0.3">
      <c r="B39" s="9" t="s">
        <v>72</v>
      </c>
      <c r="C39" s="18">
        <f>C38*D12</f>
        <v>3104543.6850943025</v>
      </c>
      <c r="D39" s="18">
        <f>D38*D12</f>
        <v>1190075.0792861492</v>
      </c>
      <c r="E39" s="103"/>
      <c r="Y39"/>
      <c r="Z39"/>
      <c r="AA39"/>
      <c r="AB39"/>
      <c r="AC39"/>
      <c r="AD39"/>
      <c r="AE39"/>
      <c r="AF39"/>
    </row>
    <row r="40" spans="2:32" s="29" customFormat="1" x14ac:dyDescent="0.3">
      <c r="B40" s="87" t="s">
        <v>27</v>
      </c>
      <c r="C40" s="87"/>
      <c r="D40" s="87"/>
      <c r="E40"/>
      <c r="H40" s="30" t="s">
        <v>130</v>
      </c>
      <c r="I40" s="30" t="s">
        <v>27</v>
      </c>
      <c r="J40" s="3" t="s">
        <v>225</v>
      </c>
      <c r="Y40"/>
      <c r="Z40"/>
      <c r="AA40"/>
      <c r="AB40"/>
      <c r="AC40"/>
      <c r="AD40"/>
      <c r="AE40"/>
      <c r="AF40"/>
    </row>
    <row r="41" spans="2:32" s="29" customFormat="1" x14ac:dyDescent="0.3">
      <c r="B41" s="8" t="s">
        <v>136</v>
      </c>
      <c r="C41" s="160">
        <f>Virksomhedssetup!D40</f>
        <v>50</v>
      </c>
      <c r="D41" s="70"/>
      <c r="E41"/>
      <c r="F41" s="295" t="s">
        <v>31</v>
      </c>
      <c r="G41" s="30" t="s">
        <v>14</v>
      </c>
      <c r="H41" s="31">
        <f>(C37)/D13</f>
        <v>4.3118662292976424</v>
      </c>
      <c r="I41" s="31">
        <f>C46/D13</f>
        <v>0.34499999999999997</v>
      </c>
      <c r="J41" s="36">
        <f>C56/$D$13</f>
        <v>4</v>
      </c>
      <c r="Y41"/>
      <c r="Z41"/>
      <c r="AA41"/>
      <c r="AB41"/>
      <c r="AC41"/>
      <c r="AD41"/>
      <c r="AE41"/>
      <c r="AF41"/>
    </row>
    <row r="42" spans="2:32" s="29" customFormat="1" x14ac:dyDescent="0.3">
      <c r="B42" s="8" t="s">
        <v>132</v>
      </c>
      <c r="C42" s="149">
        <f>Virksomhedssetup!D41</f>
        <v>150000</v>
      </c>
      <c r="D42" s="70"/>
      <c r="E42"/>
      <c r="F42" s="295"/>
      <c r="G42" s="30" t="s">
        <v>15</v>
      </c>
      <c r="H42" s="31">
        <f>D37/D13</f>
        <v>1.6528820545640963</v>
      </c>
      <c r="I42" s="31">
        <v>0</v>
      </c>
      <c r="J42">
        <f>D56/$D$13</f>
        <v>4</v>
      </c>
      <c r="Y42"/>
      <c r="Z42"/>
      <c r="AA42"/>
      <c r="AB42"/>
      <c r="AC42"/>
      <c r="AD42"/>
      <c r="AE42"/>
      <c r="AF42"/>
    </row>
    <row r="43" spans="2:32" s="29" customFormat="1" x14ac:dyDescent="0.3">
      <c r="B43" s="11" t="s">
        <v>131</v>
      </c>
      <c r="C43" s="160">
        <f>Virksomhedssetup!D42</f>
        <v>80</v>
      </c>
      <c r="D43" s="70"/>
      <c r="E43"/>
      <c r="F43" s="295"/>
      <c r="G43" s="30"/>
      <c r="H43" s="31"/>
      <c r="I43" s="31"/>
      <c r="J43"/>
      <c r="Y43"/>
      <c r="Z43"/>
      <c r="AA43"/>
      <c r="AB43"/>
      <c r="AC43"/>
      <c r="AD43"/>
      <c r="AE43"/>
      <c r="AF43"/>
    </row>
    <row r="44" spans="2:32" s="29" customFormat="1" x14ac:dyDescent="0.3">
      <c r="B44" s="80" t="s">
        <v>133</v>
      </c>
      <c r="C44" s="47">
        <f>(C43-25)*1200+16400</f>
        <v>82400</v>
      </c>
      <c r="D44" s="70"/>
      <c r="E44"/>
      <c r="F44" s="30" t="s">
        <v>24</v>
      </c>
      <c r="G44" s="30" t="s">
        <v>25</v>
      </c>
      <c r="H44" s="30" t="s">
        <v>22</v>
      </c>
      <c r="I44" s="30" t="s">
        <v>21</v>
      </c>
      <c r="Y44"/>
      <c r="Z44"/>
      <c r="AA44"/>
      <c r="AB44"/>
      <c r="AC44"/>
      <c r="AD44"/>
      <c r="AE44"/>
      <c r="AF44"/>
    </row>
    <row r="45" spans="2:32" s="29" customFormat="1" x14ac:dyDescent="0.3">
      <c r="B45" s="11" t="s">
        <v>178</v>
      </c>
      <c r="C45" s="149">
        <f>Virksomhedssetup!D44</f>
        <v>16000</v>
      </c>
      <c r="D45" s="70"/>
      <c r="E45"/>
      <c r="F45" s="31">
        <f>C66/D13</f>
        <v>1.3952430555555555</v>
      </c>
      <c r="G45" s="31">
        <f>C75/D13</f>
        <v>1.3414666666666666</v>
      </c>
      <c r="H45" s="31">
        <f>Afgifter!F77</f>
        <v>0.27557030593946463</v>
      </c>
      <c r="I45" s="29">
        <v>1E-14</v>
      </c>
      <c r="J45" s="32" t="str">
        <f>"Total "&amp;ROUND(H41+I41+F45+G45+H45+J41,2)</f>
        <v>Total 11,67</v>
      </c>
      <c r="Y45"/>
      <c r="Z45"/>
      <c r="AA45"/>
      <c r="AB45"/>
      <c r="AC45"/>
      <c r="AD45"/>
      <c r="AE45"/>
      <c r="AF45"/>
    </row>
    <row r="46" spans="2:32" s="29" customFormat="1" x14ac:dyDescent="0.3">
      <c r="B46" s="9" t="s">
        <v>169</v>
      </c>
      <c r="C46" s="18">
        <f>C47/12</f>
        <v>2587.5</v>
      </c>
      <c r="D46" s="18">
        <v>0</v>
      </c>
      <c r="E46"/>
      <c r="F46" s="31">
        <f>D66/D13</f>
        <v>3.3932000000000002</v>
      </c>
      <c r="G46" s="31">
        <f>D75/D13</f>
        <v>0.88906666666666667</v>
      </c>
      <c r="H46" s="31">
        <f>Afgifter!F78</f>
        <v>1.0053938974851282</v>
      </c>
      <c r="I46" s="29">
        <v>1E-14</v>
      </c>
      <c r="J46" s="32" t="str">
        <f>"Total "&amp;ROUND(H42+I42+F46+G46+H46+J42,2)</f>
        <v>Total 10,94</v>
      </c>
      <c r="Y46"/>
      <c r="Z46"/>
      <c r="AA46"/>
      <c r="AB46"/>
      <c r="AC46"/>
      <c r="AD46"/>
      <c r="AE46"/>
      <c r="AF46"/>
    </row>
    <row r="47" spans="2:32" s="29" customFormat="1" x14ac:dyDescent="0.3">
      <c r="B47" s="9" t="s">
        <v>170</v>
      </c>
      <c r="C47" s="18">
        <f>C48/D12</f>
        <v>31050</v>
      </c>
      <c r="D47" s="18">
        <v>0</v>
      </c>
      <c r="E47" s="41"/>
      <c r="F47"/>
      <c r="G47"/>
      <c r="H47"/>
      <c r="I47"/>
      <c r="J47"/>
      <c r="Y47"/>
      <c r="Z47"/>
      <c r="AA47"/>
      <c r="AB47"/>
      <c r="AC47"/>
      <c r="AD47"/>
      <c r="AE47"/>
      <c r="AF47"/>
    </row>
    <row r="48" spans="2:32" s="29" customFormat="1" x14ac:dyDescent="0.3">
      <c r="B48" s="9" t="s">
        <v>179</v>
      </c>
      <c r="C48" s="18">
        <f>C42+C44+C45</f>
        <v>248400</v>
      </c>
      <c r="D48" s="18">
        <v>0</v>
      </c>
      <c r="E48" s="41"/>
      <c r="F48"/>
      <c r="G48"/>
      <c r="H48"/>
      <c r="I48"/>
      <c r="J48"/>
      <c r="Y48"/>
      <c r="Z48"/>
      <c r="AA48"/>
      <c r="AB48"/>
      <c r="AC48"/>
      <c r="AD48"/>
      <c r="AE48"/>
      <c r="AF48"/>
    </row>
    <row r="49" spans="2:32" s="29" customFormat="1" x14ac:dyDescent="0.3">
      <c r="B49" s="28" t="s">
        <v>9</v>
      </c>
      <c r="C49" s="28"/>
      <c r="D49" s="28"/>
      <c r="E49" s="41"/>
      <c r="F49"/>
      <c r="G49"/>
      <c r="H49"/>
      <c r="I49"/>
      <c r="J49"/>
      <c r="Y49"/>
      <c r="Z49"/>
      <c r="AA49"/>
      <c r="AB49"/>
      <c r="AC49"/>
      <c r="AD49"/>
      <c r="AE49"/>
      <c r="AF49"/>
    </row>
    <row r="50" spans="2:32" s="29" customFormat="1" x14ac:dyDescent="0.3">
      <c r="B50" s="87" t="s">
        <v>126</v>
      </c>
      <c r="C50" s="87"/>
      <c r="D50" s="87"/>
      <c r="E50" s="41"/>
      <c r="Y50"/>
      <c r="Z50"/>
      <c r="AA50"/>
      <c r="AB50"/>
      <c r="AC50"/>
      <c r="AD50"/>
      <c r="AE50"/>
      <c r="AF50"/>
    </row>
    <row r="51" spans="2:32" s="29" customFormat="1" x14ac:dyDescent="0.3">
      <c r="B51" s="8" t="s">
        <v>127</v>
      </c>
      <c r="C51" s="149">
        <f>Virksomhedssetup!D47</f>
        <v>30000</v>
      </c>
      <c r="D51" s="149">
        <f>Virksomhedssetup!E47</f>
        <v>30000</v>
      </c>
      <c r="E51" s="41"/>
      <c r="Y51"/>
      <c r="Z51"/>
      <c r="AA51"/>
      <c r="AB51"/>
      <c r="AC51"/>
      <c r="AD51"/>
      <c r="AE51"/>
      <c r="AF51"/>
    </row>
    <row r="52" spans="2:32" s="29" customFormat="1" x14ac:dyDescent="0.3">
      <c r="B52" s="8" t="s">
        <v>137</v>
      </c>
      <c r="C52" s="150">
        <f>Virksomhedssetup!D48</f>
        <v>9</v>
      </c>
      <c r="D52" s="150">
        <f>Virksomhedssetup!E48</f>
        <v>9</v>
      </c>
      <c r="E52" s="41"/>
      <c r="Y52"/>
      <c r="Z52"/>
      <c r="AA52"/>
      <c r="AB52"/>
      <c r="AC52"/>
      <c r="AD52"/>
      <c r="AE52"/>
      <c r="AF52"/>
    </row>
    <row r="53" spans="2:32" s="29" customFormat="1" x14ac:dyDescent="0.3">
      <c r="B53" s="5" t="s">
        <v>144</v>
      </c>
      <c r="C53" s="61">
        <f>IF(C23&gt;D16,0,(D16-C23)/(C21))</f>
        <v>0</v>
      </c>
      <c r="D53" s="71"/>
      <c r="E53" s="41"/>
      <c r="Y53"/>
      <c r="Z53"/>
      <c r="AA53"/>
      <c r="AB53"/>
      <c r="AC53"/>
      <c r="AD53"/>
      <c r="AE53"/>
      <c r="AF53"/>
    </row>
    <row r="54" spans="2:32" s="29" customFormat="1" x14ac:dyDescent="0.3">
      <c r="B54" s="5" t="s">
        <v>135</v>
      </c>
      <c r="C54" s="61">
        <f>IF(C53&lt;1.5,0,C53-(0.75*(C52/4.5)))</f>
        <v>0</v>
      </c>
      <c r="D54" s="71"/>
      <c r="E54" s="41"/>
      <c r="Y54"/>
      <c r="Z54"/>
      <c r="AA54"/>
      <c r="AB54"/>
      <c r="AC54"/>
      <c r="AD54"/>
      <c r="AE54"/>
      <c r="AF54"/>
    </row>
    <row r="55" spans="2:32" s="29" customFormat="1" x14ac:dyDescent="0.3">
      <c r="B55" s="5" t="s">
        <v>134</v>
      </c>
      <c r="C55" s="61">
        <f>IF(C54&lt;0,0,(C54/C52)*100)</f>
        <v>0</v>
      </c>
      <c r="D55" s="71"/>
      <c r="E55" s="41"/>
      <c r="Y55"/>
      <c r="Z55"/>
      <c r="AA55"/>
      <c r="AB55"/>
      <c r="AC55"/>
      <c r="AD55"/>
      <c r="AE55"/>
      <c r="AF55"/>
    </row>
    <row r="56" spans="2:32" s="29" customFormat="1" x14ac:dyDescent="0.3">
      <c r="B56" s="9" t="s">
        <v>171</v>
      </c>
      <c r="C56" s="18">
        <f>((C51/100)*(100+C55))</f>
        <v>30000</v>
      </c>
      <c r="D56" s="18">
        <f>((D51/100)*(100+D55))</f>
        <v>30000</v>
      </c>
      <c r="E56" s="41"/>
      <c r="Y56"/>
      <c r="Z56"/>
      <c r="AA56"/>
      <c r="AB56"/>
      <c r="AC56"/>
      <c r="AD56"/>
      <c r="AE56"/>
      <c r="AF56"/>
    </row>
    <row r="57" spans="2:32" s="29" customFormat="1" x14ac:dyDescent="0.3">
      <c r="B57" s="9" t="s">
        <v>172</v>
      </c>
      <c r="C57" s="18">
        <f>C56*12</f>
        <v>360000</v>
      </c>
      <c r="D57" s="18">
        <f t="shared" ref="D57" si="1">D56*12</f>
        <v>360000</v>
      </c>
      <c r="E57" s="41"/>
      <c r="Y57"/>
      <c r="Z57"/>
      <c r="AA57"/>
      <c r="AB57"/>
      <c r="AC57"/>
      <c r="AD57"/>
      <c r="AE57"/>
      <c r="AF57"/>
    </row>
    <row r="58" spans="2:32" s="29" customFormat="1" x14ac:dyDescent="0.3">
      <c r="B58" s="9" t="s">
        <v>173</v>
      </c>
      <c r="C58" s="18">
        <f>C57*$D$12</f>
        <v>2880000</v>
      </c>
      <c r="D58" s="18">
        <f>D57*$D$12</f>
        <v>2880000</v>
      </c>
      <c r="E58" s="41"/>
      <c r="H58"/>
      <c r="I58"/>
      <c r="J58"/>
      <c r="Y58"/>
      <c r="Z58"/>
      <c r="AA58"/>
      <c r="AB58"/>
      <c r="AC58"/>
      <c r="AD58"/>
      <c r="AE58"/>
      <c r="AF58"/>
    </row>
    <row r="59" spans="2:32" s="29" customFormat="1" x14ac:dyDescent="0.3">
      <c r="B59" s="87" t="s">
        <v>24</v>
      </c>
      <c r="C59" s="87"/>
      <c r="D59" s="87"/>
      <c r="E59" s="41"/>
      <c r="H59"/>
      <c r="I59"/>
      <c r="J59"/>
      <c r="Y59"/>
      <c r="Z59"/>
      <c r="AA59"/>
      <c r="AB59"/>
      <c r="AC59"/>
      <c r="AD59"/>
      <c r="AE59"/>
      <c r="AF59"/>
    </row>
    <row r="60" spans="2:32" s="29" customFormat="1" x14ac:dyDescent="0.3">
      <c r="B60" s="8" t="s">
        <v>208</v>
      </c>
      <c r="C60" s="153">
        <f>Virksomhedssetup!D53</f>
        <v>1.0732638888888888</v>
      </c>
      <c r="D60" s="153">
        <f>Virksomhedssetup!E53</f>
        <v>11.4</v>
      </c>
      <c r="E60" s="41"/>
      <c r="H60" s="30"/>
      <c r="I60" s="30"/>
      <c r="J60" s="30"/>
      <c r="Y60"/>
      <c r="Z60"/>
      <c r="AA60"/>
      <c r="AB60"/>
      <c r="AC60"/>
      <c r="AD60"/>
      <c r="AE60"/>
      <c r="AF60"/>
    </row>
    <row r="61" spans="2:32" s="29" customFormat="1" x14ac:dyDescent="0.3">
      <c r="B61" s="8" t="s">
        <v>45</v>
      </c>
      <c r="C61" s="17"/>
      <c r="D61" s="153">
        <f>Virksomhedssetup!E54</f>
        <v>0.11</v>
      </c>
      <c r="E61" s="41"/>
      <c r="H61" s="30"/>
      <c r="I61" s="30"/>
      <c r="J61" s="30"/>
      <c r="Y61"/>
      <c r="Z61"/>
      <c r="AA61"/>
      <c r="AB61"/>
      <c r="AC61"/>
      <c r="AD61"/>
      <c r="AE61"/>
      <c r="AF61"/>
    </row>
    <row r="62" spans="2:32" s="29" customFormat="1" x14ac:dyDescent="0.3">
      <c r="B62" s="5" t="s">
        <v>75</v>
      </c>
      <c r="C62" s="47">
        <f>(((D11/12)/100)*C63)*($C$22*C60)</f>
        <v>10464.322916666666</v>
      </c>
      <c r="D62" s="17"/>
      <c r="E62" s="41"/>
      <c r="H62" s="30"/>
      <c r="I62" s="30"/>
      <c r="J62" s="30"/>
      <c r="Y62"/>
      <c r="Z62"/>
      <c r="AA62"/>
      <c r="AB62"/>
      <c r="AC62"/>
      <c r="AD62"/>
      <c r="AE62"/>
      <c r="AF62"/>
    </row>
    <row r="63" spans="2:32" s="29" customFormat="1" x14ac:dyDescent="0.3">
      <c r="B63" s="8" t="s">
        <v>211</v>
      </c>
      <c r="C63" s="154">
        <f>Virksomhedssetup!D56</f>
        <v>100</v>
      </c>
      <c r="D63" s="17"/>
      <c r="E63" s="41"/>
      <c r="H63" s="30"/>
      <c r="I63" s="30"/>
      <c r="J63" s="30"/>
      <c r="Y63"/>
      <c r="Z63"/>
      <c r="AA63"/>
      <c r="AB63"/>
      <c r="AC63"/>
      <c r="AD63"/>
      <c r="AE63"/>
      <c r="AF63"/>
    </row>
    <row r="64" spans="2:32" s="29" customFormat="1" x14ac:dyDescent="0.3">
      <c r="B64" s="8" t="s">
        <v>46</v>
      </c>
      <c r="C64" s="153">
        <f>Virksomhedssetup!D57</f>
        <v>4.22</v>
      </c>
      <c r="D64" s="17"/>
      <c r="E64" s="41"/>
      <c r="H64" s="30"/>
      <c r="I64" s="30"/>
      <c r="J64" s="30"/>
      <c r="Y64"/>
      <c r="Z64"/>
      <c r="AA64"/>
      <c r="AB64"/>
      <c r="AC64"/>
      <c r="AD64"/>
      <c r="AE64"/>
      <c r="AF64"/>
    </row>
    <row r="65" spans="2:32" s="29" customFormat="1" x14ac:dyDescent="0.3">
      <c r="B65" s="5" t="s">
        <v>74</v>
      </c>
      <c r="C65" s="47">
        <f>(((D11/12)/100)*(100-C63)*(C22*C64))</f>
        <v>0</v>
      </c>
      <c r="D65" s="17"/>
      <c r="E65" s="41"/>
      <c r="H65" s="30"/>
      <c r="I65" s="30"/>
      <c r="J65" s="30"/>
      <c r="Y65"/>
      <c r="Z65"/>
      <c r="AA65"/>
      <c r="AB65"/>
      <c r="AC65"/>
      <c r="AD65"/>
      <c r="AE65"/>
      <c r="AF65"/>
    </row>
    <row r="66" spans="2:32" s="29" customFormat="1" x14ac:dyDescent="0.3">
      <c r="B66" s="9" t="s">
        <v>76</v>
      </c>
      <c r="C66" s="18">
        <f>C62+C65</f>
        <v>10464.322916666666</v>
      </c>
      <c r="D66" s="18">
        <f>((D22*D60)*($D$11/12))+($D$11/12)*D61</f>
        <v>25449</v>
      </c>
      <c r="E66" s="41"/>
      <c r="H66" s="30"/>
      <c r="I66" s="30"/>
      <c r="J66" s="30"/>
      <c r="Y66"/>
      <c r="Z66"/>
      <c r="AA66"/>
      <c r="AB66"/>
      <c r="AC66"/>
      <c r="AD66"/>
      <c r="AE66"/>
      <c r="AF66"/>
    </row>
    <row r="67" spans="2:32" s="29" customFormat="1" x14ac:dyDescent="0.3">
      <c r="B67" s="9" t="s">
        <v>77</v>
      </c>
      <c r="C67" s="18">
        <f>C66*12</f>
        <v>125571.875</v>
      </c>
      <c r="D67" s="18">
        <f>D66*12</f>
        <v>305388</v>
      </c>
      <c r="E67" s="41"/>
      <c r="H67" s="30"/>
      <c r="I67" s="30"/>
      <c r="J67" s="30"/>
      <c r="Y67"/>
      <c r="Z67"/>
      <c r="AA67"/>
      <c r="AB67"/>
      <c r="AC67"/>
      <c r="AD67"/>
      <c r="AE67"/>
      <c r="AF67"/>
    </row>
    <row r="68" spans="2:32" s="29" customFormat="1" x14ac:dyDescent="0.3">
      <c r="B68" s="9" t="s">
        <v>78</v>
      </c>
      <c r="C68" s="18">
        <f>C67*D12</f>
        <v>1004575</v>
      </c>
      <c r="D68" s="18">
        <f>D67*D12</f>
        <v>2443104</v>
      </c>
      <c r="E68" s="41"/>
      <c r="Y68"/>
      <c r="Z68"/>
      <c r="AA68"/>
      <c r="AB68"/>
      <c r="AC68"/>
      <c r="AD68"/>
      <c r="AE68"/>
      <c r="AF68"/>
    </row>
    <row r="69" spans="2:32" s="29" customFormat="1" x14ac:dyDescent="0.3">
      <c r="B69" s="87" t="s">
        <v>25</v>
      </c>
      <c r="C69" s="87"/>
      <c r="D69" s="87"/>
      <c r="E69" s="41"/>
      <c r="Y69"/>
      <c r="Z69"/>
      <c r="AA69"/>
      <c r="AB69"/>
      <c r="AC69"/>
      <c r="AD69"/>
      <c r="AE69"/>
      <c r="AF69"/>
    </row>
    <row r="70" spans="2:32" s="29" customFormat="1" x14ac:dyDescent="0.3">
      <c r="B70" s="8" t="s">
        <v>88</v>
      </c>
      <c r="C70" s="149">
        <f>Virksomhedssetup!D61</f>
        <v>7685</v>
      </c>
      <c r="D70" s="149">
        <f>Virksomhedssetup!E61</f>
        <v>5000</v>
      </c>
      <c r="E70" s="41"/>
      <c r="Y70"/>
      <c r="Z70"/>
      <c r="AA70"/>
      <c r="AB70"/>
      <c r="AC70"/>
      <c r="AD70"/>
      <c r="AE70"/>
      <c r="AF70"/>
    </row>
    <row r="71" spans="2:32" s="29" customFormat="1" x14ac:dyDescent="0.3">
      <c r="B71" s="8" t="s">
        <v>89</v>
      </c>
      <c r="C71" s="155">
        <f>Virksomhedssetup!D62</f>
        <v>1.4999999999999999E-2</v>
      </c>
      <c r="D71" s="155">
        <f>Virksomhedssetup!E62</f>
        <v>1.4999999999999999E-2</v>
      </c>
      <c r="E71" s="41"/>
      <c r="Y71"/>
      <c r="Z71"/>
      <c r="AA71"/>
      <c r="AB71"/>
      <c r="AC71"/>
      <c r="AD71"/>
      <c r="AE71"/>
      <c r="AF71"/>
    </row>
    <row r="72" spans="2:32" s="29" customFormat="1" x14ac:dyDescent="0.3">
      <c r="B72" s="8" t="s">
        <v>34</v>
      </c>
      <c r="C72" s="144">
        <f>Virksomhedssetup!D63</f>
        <v>8</v>
      </c>
      <c r="D72" s="144">
        <f>Virksomhedssetup!E63</f>
        <v>8</v>
      </c>
      <c r="E72" s="41"/>
      <c r="Y72"/>
      <c r="Z72"/>
      <c r="AA72"/>
      <c r="AB72"/>
      <c r="AC72"/>
      <c r="AD72"/>
      <c r="AE72"/>
      <c r="AF72"/>
    </row>
    <row r="73" spans="2:32" s="29" customFormat="1" x14ac:dyDescent="0.3">
      <c r="B73" s="5" t="s">
        <v>90</v>
      </c>
      <c r="C73" s="47">
        <f>(C71*C72)*D13</f>
        <v>900</v>
      </c>
      <c r="D73" s="47">
        <f>(D71*D72)*D13</f>
        <v>900</v>
      </c>
      <c r="E73" s="41"/>
      <c r="Y73"/>
      <c r="Z73"/>
      <c r="AA73"/>
      <c r="AB73"/>
      <c r="AC73"/>
      <c r="AD73"/>
      <c r="AE73"/>
      <c r="AF73"/>
    </row>
    <row r="74" spans="2:32" s="29" customFormat="1" x14ac:dyDescent="0.3">
      <c r="B74" s="8" t="s">
        <v>91</v>
      </c>
      <c r="C74" s="149">
        <f>Virksomhedssetup!D65</f>
        <v>1476</v>
      </c>
      <c r="D74" s="149">
        <f>Virksomhedssetup!E65</f>
        <v>768</v>
      </c>
      <c r="E74" s="41"/>
      <c r="Y74"/>
      <c r="Z74"/>
      <c r="AA74"/>
      <c r="AB74"/>
      <c r="AC74"/>
      <c r="AD74"/>
      <c r="AE74"/>
      <c r="AF74"/>
    </row>
    <row r="75" spans="2:32" s="29" customFormat="1" ht="16.2" x14ac:dyDescent="0.3">
      <c r="B75" s="9" t="s">
        <v>84</v>
      </c>
      <c r="C75" s="19">
        <f>C70+C74+C73</f>
        <v>10061</v>
      </c>
      <c r="D75" s="19">
        <f>D70+D74+D73</f>
        <v>6668</v>
      </c>
      <c r="E75" s="41"/>
      <c r="F75"/>
      <c r="G75"/>
      <c r="H75"/>
      <c r="I75"/>
      <c r="J75"/>
      <c r="Y75"/>
      <c r="Z75"/>
      <c r="AA75"/>
      <c r="AB75"/>
      <c r="AC75"/>
      <c r="AD75"/>
      <c r="AE75"/>
      <c r="AF75"/>
    </row>
    <row r="76" spans="2:32" s="29" customFormat="1" ht="16.2" x14ac:dyDescent="0.3">
      <c r="B76" s="9" t="s">
        <v>85</v>
      </c>
      <c r="C76" s="19">
        <f>C75*12</f>
        <v>120732</v>
      </c>
      <c r="D76" s="19">
        <f>D75*12</f>
        <v>80016</v>
      </c>
      <c r="E76" s="41"/>
      <c r="Y76"/>
      <c r="Z76"/>
      <c r="AA76"/>
      <c r="AB76"/>
      <c r="AC76"/>
      <c r="AD76"/>
      <c r="AE76"/>
      <c r="AF76"/>
    </row>
    <row r="77" spans="2:32" s="29" customFormat="1" ht="16.2" x14ac:dyDescent="0.3">
      <c r="B77" s="9" t="s">
        <v>86</v>
      </c>
      <c r="C77" s="19">
        <f>C76*$D$12</f>
        <v>965856</v>
      </c>
      <c r="D77" s="19">
        <f>D76*$D$12</f>
        <v>640128</v>
      </c>
      <c r="E77" s="41"/>
      <c r="F77" s="41"/>
      <c r="G77" s="41"/>
      <c r="H77" s="41"/>
      <c r="I77" s="41"/>
      <c r="J77" s="41"/>
      <c r="Y77"/>
      <c r="Z77"/>
      <c r="AA77"/>
      <c r="AB77"/>
      <c r="AC77"/>
      <c r="AD77"/>
      <c r="AE77"/>
      <c r="AF77"/>
    </row>
    <row r="78" spans="2:32" s="29" customFormat="1" x14ac:dyDescent="0.3">
      <c r="B78" s="249" t="s">
        <v>175</v>
      </c>
      <c r="C78" s="249"/>
      <c r="D78" s="249"/>
      <c r="E78" s="41"/>
      <c r="F78" s="41"/>
      <c r="G78" s="41"/>
      <c r="H78" s="41"/>
      <c r="I78" s="41"/>
      <c r="J78" s="41"/>
      <c r="Y78"/>
      <c r="Z78"/>
      <c r="AA78"/>
      <c r="AB78"/>
      <c r="AC78"/>
      <c r="AD78"/>
      <c r="AE78"/>
      <c r="AF78"/>
    </row>
    <row r="79" spans="2:32" s="29" customFormat="1" x14ac:dyDescent="0.3">
      <c r="B79" s="8" t="s">
        <v>240</v>
      </c>
      <c r="C79" s="149">
        <f>Virksomhedssetup!D67</f>
        <v>29</v>
      </c>
      <c r="D79" s="149">
        <f>Virksomhedssetup!E67</f>
        <v>29</v>
      </c>
      <c r="E79" s="41"/>
      <c r="F79" s="41"/>
      <c r="G79" s="41"/>
      <c r="H79" s="41"/>
      <c r="I79" s="41"/>
      <c r="J79" s="41"/>
      <c r="Y79"/>
      <c r="Z79"/>
      <c r="AA79"/>
      <c r="AB79"/>
      <c r="AC79"/>
      <c r="AD79"/>
      <c r="AE79"/>
      <c r="AF79"/>
    </row>
    <row r="80" spans="2:32" s="29" customFormat="1" x14ac:dyDescent="0.3">
      <c r="B80" s="8" t="s">
        <v>242</v>
      </c>
      <c r="C80" s="156">
        <f>Virksomhedssetup!D68</f>
        <v>1.4999999999999999E-2</v>
      </c>
      <c r="D80" s="156">
        <f>Virksomhedssetup!E68</f>
        <v>1.4999999999999999E-2</v>
      </c>
      <c r="E80" s="41"/>
      <c r="F80" s="41"/>
      <c r="G80" s="41"/>
      <c r="H80" s="41"/>
      <c r="I80" s="41"/>
      <c r="J80" s="41"/>
      <c r="Y80"/>
      <c r="Z80"/>
      <c r="AA80"/>
      <c r="AB80"/>
      <c r="AC80"/>
      <c r="AD80"/>
      <c r="AE80"/>
      <c r="AF80"/>
    </row>
    <row r="81" spans="2:32" s="29" customFormat="1" x14ac:dyDescent="0.3">
      <c r="B81" s="5" t="s">
        <v>241</v>
      </c>
      <c r="C81" s="45">
        <f>((H41+I41+J41+F45+G45)*C80)*D13</f>
        <v>1281.7772945459847</v>
      </c>
      <c r="D81" s="45">
        <f>((H42+I42+J42+F46+G46)*D80)*D13</f>
        <v>1117.7042311384607</v>
      </c>
      <c r="E81" s="41"/>
      <c r="F81" s="41"/>
      <c r="G81" s="41"/>
      <c r="H81" s="41"/>
      <c r="I81" s="41"/>
      <c r="J81" s="41"/>
      <c r="Y81"/>
      <c r="Z81"/>
      <c r="AA81"/>
      <c r="AB81"/>
      <c r="AC81"/>
      <c r="AD81"/>
      <c r="AE81"/>
      <c r="AF81"/>
    </row>
    <row r="82" spans="2:32" s="29" customFormat="1" ht="16.2" x14ac:dyDescent="0.45">
      <c r="B82" s="9" t="s">
        <v>47</v>
      </c>
      <c r="C82" s="40">
        <f>C81+C79</f>
        <v>1310.7772945459847</v>
      </c>
      <c r="D82" s="40">
        <f>D81+D79</f>
        <v>1146.7042311384607</v>
      </c>
      <c r="E82" s="41"/>
      <c r="F82" s="41"/>
      <c r="G82" s="41"/>
      <c r="H82" s="41"/>
      <c r="I82" s="41"/>
      <c r="J82" s="41"/>
      <c r="Y82"/>
      <c r="Z82"/>
      <c r="AA82"/>
      <c r="AB82"/>
      <c r="AC82"/>
      <c r="AD82"/>
      <c r="AE82"/>
      <c r="AF82"/>
    </row>
    <row r="83" spans="2:32" s="29" customFormat="1" ht="16.2" x14ac:dyDescent="0.45">
      <c r="B83" s="9" t="s">
        <v>48</v>
      </c>
      <c r="C83" s="40">
        <f>C82*12</f>
        <v>15729.327534551816</v>
      </c>
      <c r="D83" s="40">
        <f>D82*12</f>
        <v>13760.450773661529</v>
      </c>
      <c r="E83" s="41"/>
      <c r="F83" s="41"/>
      <c r="G83" s="41"/>
      <c r="H83" s="41"/>
      <c r="I83" s="41"/>
      <c r="J83" s="41"/>
      <c r="Y83"/>
      <c r="Z83"/>
      <c r="AA83"/>
      <c r="AB83"/>
      <c r="AC83"/>
      <c r="AD83"/>
      <c r="AE83"/>
      <c r="AF83"/>
    </row>
    <row r="84" spans="2:32" s="29" customFormat="1" ht="16.2" x14ac:dyDescent="0.45">
      <c r="B84" s="9" t="s">
        <v>79</v>
      </c>
      <c r="C84" s="40">
        <f>C83*$D$12</f>
        <v>125834.62027641453</v>
      </c>
      <c r="D84" s="40">
        <f>D83*$D$12</f>
        <v>110083.60618929223</v>
      </c>
      <c r="E84"/>
      <c r="F84"/>
      <c r="G84"/>
      <c r="H84"/>
      <c r="I84"/>
      <c r="J84"/>
      <c r="Y84"/>
      <c r="Z84"/>
      <c r="AA84"/>
      <c r="AB84"/>
      <c r="AC84"/>
      <c r="AD84"/>
      <c r="AE84"/>
      <c r="AF84"/>
    </row>
    <row r="85" spans="2:32" s="29" customFormat="1" x14ac:dyDescent="0.3">
      <c r="B85" s="297" t="s">
        <v>33</v>
      </c>
      <c r="C85" s="297"/>
      <c r="D85" s="297"/>
      <c r="E85"/>
      <c r="F85"/>
      <c r="G85"/>
      <c r="H85"/>
      <c r="I85"/>
      <c r="J85"/>
      <c r="Y85"/>
      <c r="Z85"/>
      <c r="AA85"/>
      <c r="AB85"/>
      <c r="AC85"/>
      <c r="AD85"/>
      <c r="AE85"/>
      <c r="AF85"/>
    </row>
    <row r="86" spans="2:32" s="29" customFormat="1" x14ac:dyDescent="0.3">
      <c r="B86" s="9" t="s">
        <v>49</v>
      </c>
      <c r="C86" s="18">
        <f t="shared" ref="C86:D88" si="2">C37+C46+C56+C66+C75+C82</f>
        <v>86762.596930944972</v>
      </c>
      <c r="D86" s="18">
        <f t="shared" si="2"/>
        <v>75660.319640369184</v>
      </c>
      <c r="E86"/>
      <c r="F86"/>
      <c r="G86"/>
      <c r="H86"/>
      <c r="I86"/>
      <c r="J86"/>
      <c r="Y86"/>
      <c r="Z86"/>
      <c r="AA86"/>
      <c r="AB86"/>
      <c r="AC86"/>
      <c r="AD86"/>
      <c r="AE86"/>
      <c r="AF86"/>
    </row>
    <row r="87" spans="2:32" s="29" customFormat="1" x14ac:dyDescent="0.3">
      <c r="B87" s="9" t="s">
        <v>50</v>
      </c>
      <c r="C87" s="18">
        <f t="shared" si="2"/>
        <v>1041151.1631713397</v>
      </c>
      <c r="D87" s="18">
        <f t="shared" si="2"/>
        <v>907923.83568443009</v>
      </c>
      <c r="E87"/>
      <c r="F87"/>
      <c r="G87"/>
      <c r="H87"/>
      <c r="I87"/>
      <c r="J87"/>
      <c r="Y87"/>
      <c r="Z87"/>
      <c r="AA87"/>
      <c r="AB87"/>
      <c r="AC87"/>
      <c r="AD87"/>
      <c r="AE87"/>
      <c r="AF87"/>
    </row>
    <row r="88" spans="2:32" x14ac:dyDescent="0.3">
      <c r="B88" s="9" t="s">
        <v>69</v>
      </c>
      <c r="C88" s="18">
        <f t="shared" si="2"/>
        <v>8329209.3053707173</v>
      </c>
      <c r="D88" s="18">
        <f t="shared" si="2"/>
        <v>7263390.6854754407</v>
      </c>
    </row>
    <row r="96" spans="2:32" x14ac:dyDescent="0.3">
      <c r="AF96" s="29"/>
    </row>
    <row r="106" spans="5:6" x14ac:dyDescent="0.3">
      <c r="E106" s="36"/>
    </row>
    <row r="109" spans="5:6" x14ac:dyDescent="0.3">
      <c r="F109" s="10"/>
    </row>
  </sheetData>
  <sheetProtection sheet="1" objects="1" scenarios="1" selectLockedCells="1"/>
  <mergeCells count="36">
    <mergeCell ref="B2:D2"/>
    <mergeCell ref="B4:D4"/>
    <mergeCell ref="B5:C5"/>
    <mergeCell ref="B6:C6"/>
    <mergeCell ref="B7:C7"/>
    <mergeCell ref="B85:D85"/>
    <mergeCell ref="B78:D78"/>
    <mergeCell ref="G9:H9"/>
    <mergeCell ref="F41:F43"/>
    <mergeCell ref="B15:C15"/>
    <mergeCell ref="F2:I2"/>
    <mergeCell ref="F3:I3"/>
    <mergeCell ref="P2:S2"/>
    <mergeCell ref="P6:R6"/>
    <mergeCell ref="P7:R7"/>
    <mergeCell ref="P3:R3"/>
    <mergeCell ref="P5:R5"/>
    <mergeCell ref="P4:S4"/>
    <mergeCell ref="G7:H7"/>
    <mergeCell ref="F5:I5"/>
    <mergeCell ref="G6:H6"/>
    <mergeCell ref="P8:R8"/>
    <mergeCell ref="G10:H10"/>
    <mergeCell ref="B16:C16"/>
    <mergeCell ref="P11:S11"/>
    <mergeCell ref="P12:S12"/>
    <mergeCell ref="P13:R13"/>
    <mergeCell ref="P14:R14"/>
    <mergeCell ref="P15:R15"/>
    <mergeCell ref="P16:R16"/>
    <mergeCell ref="B8:C8"/>
    <mergeCell ref="B11:C11"/>
    <mergeCell ref="B12:C12"/>
    <mergeCell ref="B13:C13"/>
    <mergeCell ref="B14:C14"/>
    <mergeCell ref="G8:H8"/>
  </mergeCells>
  <conditionalFormatting sqref="G10 I10">
    <cfRule type="colorScale" priority="4">
      <colorScale>
        <cfvo type="min"/>
        <cfvo type="percentile" val="50"/>
        <cfvo type="max"/>
        <color rgb="FF63BE7B"/>
        <color rgb="FFFFEB84"/>
        <color rgb="FFF8696B"/>
      </colorScale>
    </cfRule>
  </conditionalFormatting>
  <conditionalFormatting sqref="G7:I7">
    <cfRule type="colorScale" priority="3">
      <colorScale>
        <cfvo type="min"/>
        <cfvo type="percentile" val="50"/>
        <cfvo type="max"/>
        <color rgb="FF63BE7B"/>
        <color rgb="FFFFEB84"/>
        <color rgb="FFF8696B"/>
      </colorScale>
    </cfRule>
  </conditionalFormatting>
  <conditionalFormatting sqref="G8:I8">
    <cfRule type="colorScale" priority="2">
      <colorScale>
        <cfvo type="min"/>
        <cfvo type="percentile" val="50"/>
        <cfvo type="max"/>
        <color rgb="FF63BE7B"/>
        <color rgb="FFFFEB84"/>
        <color rgb="FFF8696B"/>
      </colorScale>
    </cfRule>
  </conditionalFormatting>
  <conditionalFormatting sqref="G9:I9">
    <cfRule type="colorScale" priority="1">
      <colorScale>
        <cfvo type="min"/>
        <cfvo type="percentile" val="50"/>
        <cfvo type="max"/>
        <color rgb="FF63BE7B"/>
        <color rgb="FFFFEB84"/>
        <color rgb="FFF8696B"/>
      </colorScale>
    </cfRule>
  </conditionalFormatting>
  <conditionalFormatting sqref="S5">
    <cfRule type="colorScale" priority="37">
      <colorScale>
        <cfvo type="min"/>
        <cfvo type="num" val="0"/>
        <cfvo type="max"/>
        <color rgb="FFFF0000"/>
        <color theme="0"/>
        <color rgb="FF00B050"/>
      </colorScale>
    </cfRule>
    <cfRule type="colorScale" priority="39">
      <colorScale>
        <cfvo type="min"/>
        <cfvo type="num" val="0"/>
        <cfvo type="max"/>
        <color rgb="FFFF0000"/>
        <color rgb="FFFFEB84"/>
        <color rgb="FF00B050"/>
      </colorScale>
    </cfRule>
    <cfRule type="colorScale" priority="40">
      <colorScale>
        <cfvo type="min"/>
        <cfvo type="num" val="0"/>
        <cfvo type="max"/>
        <color rgb="FFFF0000"/>
        <color theme="0"/>
        <color rgb="FF00B050"/>
      </colorScale>
    </cfRule>
  </conditionalFormatting>
  <conditionalFormatting sqref="S6:S8">
    <cfRule type="colorScale" priority="43">
      <colorScale>
        <cfvo type="num" val="-1"/>
        <cfvo type="num" val="0"/>
        <cfvo type="num" val="1"/>
        <color rgb="FFFF0000"/>
        <color rgb="FFFFFF00"/>
        <color rgb="FF00B050"/>
      </colorScale>
    </cfRule>
    <cfRule type="colorScale" priority="44">
      <colorScale>
        <cfvo type="min"/>
        <cfvo type="num" val="0"/>
        <cfvo type="max"/>
        <color rgb="FFFF0000"/>
        <color rgb="FFFFFF00"/>
        <color rgb="FF00B050"/>
      </colorScale>
    </cfRule>
  </conditionalFormatting>
  <hyperlinks>
    <hyperlink ref="F3" r:id="rId1" display="Har du spørgsmål til beregningen kan du henvende dig til lucas.perkild@regionh.dk" xr:uid="{7BAD438C-636E-4FB0-9A81-C1B445F4A84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E48AE98EC64B4AB3CA5B73BF483A3B" ma:contentTypeVersion="5" ma:contentTypeDescription="Create a new document." ma:contentTypeScope="" ma:versionID="80b31af3c107180a919937f60bc3af34">
  <xsd:schema xmlns:xsd="http://www.w3.org/2001/XMLSchema" xmlns:xs="http://www.w3.org/2001/XMLSchema" xmlns:p="http://schemas.microsoft.com/office/2006/metadata/properties" xmlns:ns2="http://schemas.microsoft.com/sharepoint/v3/fields" xmlns:ns3="b42a5f5c-111b-4bee-902c-d6b634e44cb4" targetNamespace="http://schemas.microsoft.com/office/2006/metadata/properties" ma:root="true" ma:fieldsID="954e6534eee6e7fcd8897e979db82467" ns2:_="" ns3:_="">
    <xsd:import namespace="http://schemas.microsoft.com/sharepoint/v3/fields"/>
    <xsd:import namespace="b42a5f5c-111b-4bee-902c-d6b634e44cb4"/>
    <xsd:element name="properties">
      <xsd:complexType>
        <xsd:sequence>
          <xsd:element name="documentManagement">
            <xsd:complexType>
              <xsd:all>
                <xsd:element ref="ns2:_Versio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a5f5c-111b-4bee-902c-d6b634e44cb4"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Y D A A B Q S w M E F A A C A A g A h G p T V + D E 1 f W m A A A A 9 g A A A B I A H A B D b 2 5 m a W c v U G F j a 2 F n Z S 5 4 b W w g o h g A K K A U A A A A A A A A A A A A A A A A A A A A A A A A A A A A h Y + x D o I w G I R f h X S n L Z g Y J D 9 l 0 E 1 J T E y M a 1 N q a Y R i a L G 8 m 4 O P 5 C u I U d T N 8 e 6 + S + 7 u 1 x v k Q 1 M H F 9 l Z 3 Z o M R Z i i Q B r R l t q o D P X u G C Y o Z 7 D l 4 s S V D E b Y 2 H S w O k O V c + e U E O 8 9 9 j P c d o r E l E b k U G x 2 o p I N D 7 W x j h s h 0 a d V / m 8 h B v v X G B b j i C Z 4 k c w x B T K Z U G j z B e J x 7 z P 9 M W H Z 1 6 7 v J C t 5 u F o D m S S Q 9 w f 2 A F B L A w Q U A A I A C A C E a l N 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G p T V y i K R 7 g O A A A A E Q A A A B M A H A B G b 3 J t d W x h c y 9 T Z W N 0 a W 9 u M S 5 t I K I Y A C i g F A A A A A A A A A A A A A A A A A A A A A A A A A A A A C t O T S 7 J z M 9 T C I b Q h t Y A U E s B A i 0 A F A A C A A g A h G p T V + D E 1 f W m A A A A 9 g A A A B I A A A A A A A A A A A A A A A A A A A A A A E N v b m Z p Z y 9 Q Y W N r Y W d l L n h t b F B L A Q I t A B Q A A g A I A I R q U 1 c P y u m r p A A A A O k A A A A T A A A A A A A A A A A A A A A A A P I A A A B b Q 2 9 u d G V u d F 9 U e X B l c 1 0 u e G 1 s U E s B A i 0 A F A A C A A g A h G p T V 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a b z e 5 q D q x D o 0 W D 1 Z 8 o 0 M E A A A A A A g A A A A A A A 2 Y A A M A A A A A Q A A A A o S 1 T 7 2 j 2 0 r N 3 E h Q 4 G 4 E B j g A A A A A E g A A A o A A A A B A A A A D + g M 6 P T + N C x Z n j M q g E L G 0 7 U A A A A B V 4 X W e H 5 x 4 0 4 K 2 Y 3 L n d k E m k N q e O 3 b v w d Y 8 n k H f H s X N A w / y A g v Y x q D K H S 2 g f z 4 I x f 9 O C x + e 6 U f u u E a 3 9 b Y B h x 6 0 c O G c x Q s a M V t Y 1 x w t v z S t e F A A A A D F 1 b R H D X 2 o M + L V U h o h q G 4 g O U U B 7 < / D a t a M a s h u p > 
</file>

<file path=customXml/itemProps1.xml><?xml version="1.0" encoding="utf-8"?>
<ds:datastoreItem xmlns:ds="http://schemas.openxmlformats.org/officeDocument/2006/customXml" ds:itemID="{212F4CA0-01A0-4108-AD6F-D76CA2C16325}">
  <ds:schemaRefs>
    <ds:schemaRef ds:uri="http://schemas.microsoft.com/office/2006/metadata/properties"/>
    <ds:schemaRef ds:uri="http://schemas.microsoft.com/office/infopath/2007/PartnerControls"/>
    <ds:schemaRef ds:uri="0d998059-f447-4b11-84a5-7ab1d050ec9b"/>
    <ds:schemaRef ds:uri="59a79c5d-59f3-4683-8d11-c665fc766d50"/>
    <ds:schemaRef ds:uri="http://schemas.microsoft.com/sharepoint/v3/fields"/>
  </ds:schemaRefs>
</ds:datastoreItem>
</file>

<file path=customXml/itemProps2.xml><?xml version="1.0" encoding="utf-8"?>
<ds:datastoreItem xmlns:ds="http://schemas.openxmlformats.org/officeDocument/2006/customXml" ds:itemID="{035BD29C-A133-41AF-97DC-2903CC5C9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b42a5f5c-111b-4bee-902c-d6b634e44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8CF261-BC3F-4821-A114-80B5043B5996}">
  <ds:schemaRefs>
    <ds:schemaRef ds:uri="http://schemas.microsoft.com/sharepoint/v3/contenttype/forms"/>
  </ds:schemaRefs>
</ds:datastoreItem>
</file>

<file path=customXml/itemProps4.xml><?xml version="1.0" encoding="utf-8"?>
<ds:datastoreItem xmlns:ds="http://schemas.openxmlformats.org/officeDocument/2006/customXml" ds:itemID="{1419EF3B-BA2A-4B97-B1BB-D4D5AAA210A2}">
  <ds:schemaRefs>
    <ds:schemaRef ds:uri="http://schemas.microsoft.com/DataMashup"/>
  </ds:schemaRefs>
</ds:datastoreItem>
</file>

<file path=docMetadata/LabelInfo.xml><?xml version="1.0" encoding="utf-8"?>
<clbl:labelList xmlns:clbl="http://schemas.microsoft.com/office/2020/mipLabelMetadata">
  <clbl:label id="{11be1538-79d8-4939-82b8-b767805d825b}" enabled="0" method="" siteId="{11be1538-79d8-4939-82b8-b767805d8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Dashboard OLD</vt:lpstr>
      <vt:lpstr>Dashboard</vt:lpstr>
      <vt:lpstr>Virksomhedssetup</vt:lpstr>
      <vt:lpstr>Afgifter</vt:lpstr>
      <vt:lpstr>TCO-beregner</vt:lpstr>
      <vt:lpstr>2024</vt:lpstr>
      <vt:lpstr>2025</vt:lpstr>
      <vt:lpstr>2026</vt:lpstr>
      <vt:lpstr>2027</vt:lpstr>
      <vt:lpstr>2028</vt:lpstr>
      <vt:lpstr>2029</vt:lpstr>
      <vt:lpstr>2030</vt:lpstr>
      <vt:lpstr>Dataark TCO</vt:lpstr>
      <vt:lpstr>Elpriser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Perkild</dc:creator>
  <cp:lastModifiedBy>Lucas Klosterskov Perkild</cp:lastModifiedBy>
  <cp:lastPrinted>2024-06-20T09:03:16Z</cp:lastPrinted>
  <dcterms:created xsi:type="dcterms:W3CDTF">2015-06-05T18:19:34Z</dcterms:created>
  <dcterms:modified xsi:type="dcterms:W3CDTF">2024-11-19T08:47:01Z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0x010100CDE48AE98EC64B4AB3CA5B73BF483A3B</vt:lpwstr>
  </property>
  <property fmtid="{D5CDD505-2E9C-101B-9397-08002B2CF9AE}" pid="3" name="MediaServiceImageTags">
    <vt:lpwstr/>
  </property>
</Properties>
</file>