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anskerhverv-my.sharepoint.com/personal/hny_danskerhverv_dk/Documents/Skrivebord/Hjemmeside/Lønberegner BPA/2022/"/>
    </mc:Choice>
  </mc:AlternateContent>
  <xr:revisionPtr revIDLastSave="0" documentId="8_{E9AA063F-F179-4DDB-BC34-DD89276F14A7}" xr6:coauthVersionLast="46" xr6:coauthVersionMax="46" xr10:uidLastSave="{00000000-0000-0000-0000-000000000000}"/>
  <workbookProtection workbookAlgorithmName="SHA-512" workbookHashValue="nzYyoMyDH9z7OhgDatYbK38ZLSt0PxrkV0Ed4J5r04OhSTy7igq5UkxIq9kjts24rmBoVVh6SADvG9s5n11o9w==" workbookSaltValue="XiZz7+n/k3uuIU8ZAZkyfA==" workbookSpinCount="100000" lockStructure="1"/>
  <bookViews>
    <workbookView xWindow="-120" yWindow="-120" windowWidth="29040" windowHeight="15840" xr2:uid="{00000000-000D-0000-FFFF-FFFF00000000}"/>
  </bookViews>
  <sheets>
    <sheet name="Administration" sheetId="13" r:id="rId1"/>
    <sheet name="Forudsætninger" sheetId="14" r:id="rId2"/>
    <sheet name="BPA-HHOK" sheetId="10" r:id="rId3"/>
    <sheet name="SOSU-OK" sheetId="11" r:id="rId4"/>
    <sheet name="Budgetark" sheetId="12" r:id="rId5"/>
  </sheets>
  <definedNames>
    <definedName name="Forhøjetpens.">Forudsætninger!#REF!</definedName>
    <definedName name="Forhøjetpension">Forudsætninger!$L$38</definedName>
    <definedName name="Fremskrivning">Tabel1[[Årsfremskrivning ]:[Generel pris- og lønstigning, pct.]]</definedName>
    <definedName name="Kommuneliste">Forudsætninger!$P$6:$P$105</definedName>
    <definedName name="Kommunenavn">Forudsætninger!$P$6:$Q$105</definedName>
    <definedName name="Kommunetakst">#REF!</definedName>
    <definedName name="Kommunetakst2">#REF!</definedName>
    <definedName name="kommunetakster">#REF!</definedName>
    <definedName name="Kommunetakster1">#REF!</definedName>
    <definedName name="Kommunetakster10">#REF!</definedName>
    <definedName name="Kommunetakster14">#REF!</definedName>
    <definedName name="Kommunetakstsosu">#REF!</definedName>
    <definedName name="Lønsatsdatoer">#REF!</definedName>
    <definedName name="Lønsatsdatoer1">#REF!</definedName>
    <definedName name="Lønsatsdatoer2">#REF!</definedName>
    <definedName name="Lønsatsdatoer3">#REF!</definedName>
    <definedName name="Lønsatsdatoer4">#REF!</definedName>
    <definedName name="Lønsatser">Forudsætninger!$B$10:$G$33</definedName>
    <definedName name="Løntrin">Forudsætninger!$B$10:$B$33</definedName>
    <definedName name="Stedtillæg">Forudsætninger!$C$9:$G$9</definedName>
    <definedName name="Timepriser">Forudsætninger!$C$10:$G$33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8" i="11" l="1"/>
  <c r="E88" i="10"/>
  <c r="E98" i="10"/>
  <c r="G94" i="10" l="1"/>
  <c r="E94" i="10"/>
  <c r="G94" i="11"/>
  <c r="E94" i="11"/>
  <c r="G93" i="10"/>
  <c r="G93" i="11"/>
  <c r="F4" i="11" l="1"/>
  <c r="G8" i="11" s="1"/>
  <c r="F4" i="10"/>
  <c r="G8" i="10" s="1"/>
  <c r="I64" i="14" l="1"/>
  <c r="E67" i="11" l="1"/>
  <c r="E67" i="10"/>
  <c r="M115" i="11" l="1"/>
  <c r="J7" i="12" l="1"/>
  <c r="J6" i="12"/>
  <c r="G7" i="12"/>
  <c r="G6" i="12"/>
  <c r="D10" i="13" l="1"/>
  <c r="M67" i="11"/>
  <c r="C13" i="12" s="1"/>
  <c r="I46" i="11"/>
  <c r="H46" i="11"/>
  <c r="J46" i="11"/>
  <c r="G46" i="11"/>
  <c r="G46" i="10"/>
  <c r="H46" i="10"/>
  <c r="I46" i="10"/>
  <c r="J46" i="10"/>
  <c r="F63" i="11" l="1"/>
  <c r="F62" i="11"/>
  <c r="F59" i="11"/>
  <c r="F57" i="11"/>
  <c r="G49" i="11"/>
  <c r="M8" i="11"/>
  <c r="L8" i="11"/>
  <c r="K8" i="11"/>
  <c r="J8" i="11"/>
  <c r="I8" i="11"/>
  <c r="E88" i="11" l="1"/>
  <c r="E46" i="11" l="1"/>
  <c r="J11" i="12" s="1"/>
  <c r="F59" i="10" l="1"/>
  <c r="F61" i="11" l="1"/>
  <c r="E113" i="10"/>
  <c r="M113" i="10" s="1"/>
  <c r="E111" i="10"/>
  <c r="M111" i="10" s="1"/>
  <c r="E43" i="13" l="1"/>
  <c r="E44" i="13" s="1"/>
  <c r="E45" i="13" s="1"/>
  <c r="E46" i="13" s="1"/>
  <c r="E47" i="13" s="1"/>
  <c r="E48" i="13" s="1"/>
  <c r="E49" i="13" s="1"/>
  <c r="E50" i="13" s="1"/>
  <c r="E51" i="13" s="1"/>
  <c r="E52" i="13" s="1"/>
  <c r="E53" i="13" l="1"/>
  <c r="E54" i="13" s="1"/>
  <c r="E55" i="13" s="1"/>
  <c r="C46" i="10"/>
  <c r="E75" i="11" l="1"/>
  <c r="M75" i="11" s="1"/>
  <c r="C19" i="12" s="1"/>
  <c r="E75" i="10"/>
  <c r="M75" i="10" s="1"/>
  <c r="B19" i="12" s="1"/>
  <c r="E77" i="11" l="1"/>
  <c r="G69" i="10" l="1"/>
  <c r="E71" i="11" l="1"/>
  <c r="M71" i="11" s="1"/>
  <c r="E71" i="10"/>
  <c r="M71" i="10" s="1"/>
  <c r="G49" i="10"/>
  <c r="M8" i="10"/>
  <c r="L8" i="10"/>
  <c r="K8" i="10"/>
  <c r="I8" i="10"/>
  <c r="J8" i="10"/>
  <c r="F57" i="10"/>
  <c r="I52" i="14"/>
  <c r="F62" i="10"/>
  <c r="F63" i="10"/>
  <c r="F61" i="10"/>
  <c r="M94" i="11"/>
  <c r="M94" i="10"/>
  <c r="E115" i="11" l="1"/>
  <c r="E113" i="11"/>
  <c r="M113" i="11" s="1"/>
  <c r="E111" i="11"/>
  <c r="M111" i="11" s="1"/>
  <c r="E115" i="10"/>
  <c r="M115" i="10" s="1"/>
  <c r="F86" i="14"/>
  <c r="F84" i="14"/>
  <c r="F82" i="14"/>
  <c r="E81" i="14"/>
  <c r="F81" i="14" s="1"/>
  <c r="E97" i="14" l="1"/>
  <c r="G92" i="11" s="1"/>
  <c r="G96" i="10"/>
  <c r="E73" i="11"/>
  <c r="M73" i="11" s="1"/>
  <c r="C18" i="12" s="1"/>
  <c r="E73" i="10"/>
  <c r="M73" i="10" s="1"/>
  <c r="B18" i="12" s="1"/>
  <c r="E77" i="10"/>
  <c r="B3" i="12" l="1"/>
  <c r="E33" i="13" l="1"/>
  <c r="F33" i="13" s="1"/>
  <c r="E32" i="13"/>
  <c r="F32" i="13" s="1"/>
  <c r="E31" i="13"/>
  <c r="F31" i="13" s="1"/>
  <c r="F26" i="13"/>
  <c r="E26" i="13"/>
  <c r="D26" i="13"/>
  <c r="C26" i="13"/>
  <c r="C27" i="12" l="1"/>
  <c r="C37" i="12" s="1"/>
  <c r="B27" i="12"/>
  <c r="B37" i="12" s="1"/>
  <c r="N12" i="11" l="1"/>
  <c r="O12" i="11"/>
  <c r="N17" i="11"/>
  <c r="O17" i="11"/>
  <c r="N22" i="11"/>
  <c r="O22" i="11"/>
  <c r="N27" i="11"/>
  <c r="O27" i="11"/>
  <c r="N32" i="11"/>
  <c r="O32" i="11"/>
  <c r="N37" i="11"/>
  <c r="O37" i="11"/>
  <c r="O37" i="10"/>
  <c r="O32" i="10"/>
  <c r="O27" i="10"/>
  <c r="O22" i="10"/>
  <c r="O17" i="10"/>
  <c r="O12" i="10"/>
  <c r="N37" i="10"/>
  <c r="N32" i="10"/>
  <c r="N27" i="10"/>
  <c r="N22" i="10"/>
  <c r="N17" i="10"/>
  <c r="N12" i="10"/>
  <c r="G69" i="11" l="1"/>
  <c r="G96" i="11" l="1"/>
  <c r="D46" i="11"/>
  <c r="J12" i="12" s="1"/>
  <c r="C46" i="11"/>
  <c r="E46" i="10"/>
  <c r="D46" i="10"/>
  <c r="G11" i="12" l="1"/>
  <c r="G10" i="12"/>
  <c r="E49" i="11"/>
  <c r="M49" i="11" s="1"/>
  <c r="F46" i="11"/>
  <c r="C6" i="12" s="1"/>
  <c r="J10" i="12"/>
  <c r="G12" i="12"/>
  <c r="E49" i="10"/>
  <c r="M49" i="10" s="1"/>
  <c r="F46" i="10"/>
  <c r="F67" i="10" s="1"/>
  <c r="M67" i="10" s="1"/>
  <c r="B13" i="12" s="1"/>
  <c r="G92" i="10"/>
  <c r="B6" i="12" l="1"/>
  <c r="B27" i="13"/>
  <c r="C27" i="13" s="1"/>
  <c r="D27" i="13" s="1"/>
  <c r="E51" i="11"/>
  <c r="C10" i="12"/>
  <c r="E63" i="11"/>
  <c r="B10" i="12"/>
  <c r="E63" i="10"/>
  <c r="E51" i="10"/>
  <c r="G98" i="10" s="1"/>
  <c r="M98" i="10" s="1"/>
  <c r="G98" i="11" l="1"/>
  <c r="M98" i="11" s="1"/>
  <c r="C31" i="12" s="1"/>
  <c r="B31" i="12"/>
  <c r="J13" i="12"/>
  <c r="G13" i="12"/>
  <c r="E53" i="11"/>
  <c r="E96" i="11"/>
  <c r="J15" i="12" s="1"/>
  <c r="E53" i="10"/>
  <c r="E96" i="10"/>
  <c r="G15" i="12" s="1"/>
  <c r="E92" i="10" l="1"/>
  <c r="M92" i="10" s="1"/>
  <c r="F55" i="10"/>
  <c r="M55" i="10" s="1"/>
  <c r="F65" i="11"/>
  <c r="G65" i="11"/>
  <c r="E92" i="11"/>
  <c r="M92" i="11" s="1"/>
  <c r="M69" i="11"/>
  <c r="C17" i="12" s="1"/>
  <c r="E65" i="11"/>
  <c r="F77" i="11"/>
  <c r="M77" i="11" s="1"/>
  <c r="C16" i="12" s="1"/>
  <c r="F77" i="10"/>
  <c r="M77" i="10" s="1"/>
  <c r="B16" i="12" s="1"/>
  <c r="F55" i="11"/>
  <c r="J14" i="12"/>
  <c r="J16" i="12" s="1"/>
  <c r="F65" i="10"/>
  <c r="M69" i="10"/>
  <c r="B17" i="12" s="1"/>
  <c r="E65" i="10"/>
  <c r="G65" i="10"/>
  <c r="G14" i="12"/>
  <c r="G16" i="12" s="1"/>
  <c r="F80" i="14"/>
  <c r="E61" i="10" l="1"/>
  <c r="M61" i="10" s="1"/>
  <c r="E61" i="11"/>
  <c r="M61" i="11" s="1"/>
  <c r="M55" i="11"/>
  <c r="E27" i="13"/>
  <c r="F87" i="14"/>
  <c r="C24" i="12"/>
  <c r="F24" i="11"/>
  <c r="F14" i="11"/>
  <c r="F31" i="11"/>
  <c r="F17" i="11"/>
  <c r="M17" i="11" s="1"/>
  <c r="F22" i="11"/>
  <c r="M22" i="11" s="1"/>
  <c r="F19" i="11"/>
  <c r="G51" i="11"/>
  <c r="M51" i="11" s="1"/>
  <c r="C8" i="12" s="1"/>
  <c r="F18" i="11"/>
  <c r="F37" i="11"/>
  <c r="M37" i="11" s="1"/>
  <c r="F40" i="11"/>
  <c r="F39" i="11"/>
  <c r="F32" i="11"/>
  <c r="M32" i="11" s="1"/>
  <c r="F13" i="11"/>
  <c r="F45" i="11"/>
  <c r="F23" i="11"/>
  <c r="F16" i="11"/>
  <c r="F28" i="11"/>
  <c r="F36" i="11"/>
  <c r="F34" i="11"/>
  <c r="F29" i="11"/>
  <c r="F43" i="11"/>
  <c r="F26" i="11"/>
  <c r="M96" i="11"/>
  <c r="F33" i="11"/>
  <c r="F21" i="11"/>
  <c r="F44" i="11"/>
  <c r="F27" i="11"/>
  <c r="M27" i="11" s="1"/>
  <c r="F12" i="11"/>
  <c r="M12" i="11" s="1"/>
  <c r="F38" i="11"/>
  <c r="F42" i="11"/>
  <c r="F11" i="11"/>
  <c r="F43" i="10"/>
  <c r="F17" i="10"/>
  <c r="M17" i="10" s="1"/>
  <c r="F11" i="10"/>
  <c r="F40" i="10"/>
  <c r="F12" i="10"/>
  <c r="M12" i="10" s="1"/>
  <c r="F22" i="10"/>
  <c r="M22" i="10" s="1"/>
  <c r="F29" i="10"/>
  <c r="F44" i="10"/>
  <c r="F26" i="10"/>
  <c r="F18" i="10"/>
  <c r="F14" i="10"/>
  <c r="F39" i="10"/>
  <c r="F42" i="10"/>
  <c r="G51" i="10"/>
  <c r="M51" i="10" s="1"/>
  <c r="B8" i="12" s="1"/>
  <c r="F45" i="10"/>
  <c r="F34" i="10"/>
  <c r="F36" i="10"/>
  <c r="F21" i="10"/>
  <c r="F19" i="10"/>
  <c r="F27" i="10"/>
  <c r="M27" i="10" s="1"/>
  <c r="F28" i="10"/>
  <c r="F16" i="10"/>
  <c r="F37" i="10"/>
  <c r="M37" i="10" s="1"/>
  <c r="F24" i="10"/>
  <c r="F33" i="10"/>
  <c r="F38" i="10"/>
  <c r="F31" i="10"/>
  <c r="F13" i="10"/>
  <c r="F32" i="10"/>
  <c r="M32" i="10" s="1"/>
  <c r="F23" i="10"/>
  <c r="C23" i="12" l="1"/>
  <c r="M100" i="11"/>
  <c r="F92" i="14"/>
  <c r="F88" i="14"/>
  <c r="F27" i="13"/>
  <c r="F10" i="13" s="1"/>
  <c r="F89" i="14"/>
  <c r="F90" i="14"/>
  <c r="F91" i="14"/>
  <c r="C25" i="12"/>
  <c r="E62" i="11"/>
  <c r="M63" i="11" s="1"/>
  <c r="L12" i="11"/>
  <c r="H39" i="11"/>
  <c r="H38" i="11"/>
  <c r="L38" i="11" s="1"/>
  <c r="H40" i="11"/>
  <c r="L37" i="11"/>
  <c r="L22" i="11"/>
  <c r="L27" i="11"/>
  <c r="I23" i="11"/>
  <c r="L23" i="11" s="1"/>
  <c r="I13" i="11"/>
  <c r="L13" i="11" s="1"/>
  <c r="I44" i="11"/>
  <c r="I33" i="11"/>
  <c r="I18" i="11"/>
  <c r="L18" i="11" s="1"/>
  <c r="I39" i="11"/>
  <c r="I28" i="11"/>
  <c r="L32" i="11"/>
  <c r="L17" i="11"/>
  <c r="J24" i="11"/>
  <c r="J14" i="11"/>
  <c r="L14" i="11" s="1"/>
  <c r="J21" i="11"/>
  <c r="L21" i="11" s="1"/>
  <c r="J34" i="11"/>
  <c r="J11" i="11"/>
  <c r="O11" i="11" s="1"/>
  <c r="J19" i="11"/>
  <c r="L19" i="11" s="1"/>
  <c r="J45" i="11"/>
  <c r="J40" i="11"/>
  <c r="J42" i="11"/>
  <c r="J36" i="11"/>
  <c r="L36" i="11" s="1"/>
  <c r="J29" i="11"/>
  <c r="L29" i="11" s="1"/>
  <c r="J16" i="11"/>
  <c r="L16" i="11" s="1"/>
  <c r="J31" i="11"/>
  <c r="L31" i="11" s="1"/>
  <c r="J26" i="11"/>
  <c r="L26" i="11" s="1"/>
  <c r="K40" i="11"/>
  <c r="K32" i="11"/>
  <c r="K34" i="11"/>
  <c r="K33" i="11"/>
  <c r="K22" i="11"/>
  <c r="K44" i="11"/>
  <c r="K12" i="11"/>
  <c r="K38" i="11"/>
  <c r="K21" i="11"/>
  <c r="K36" i="11"/>
  <c r="K18" i="11"/>
  <c r="K11" i="11"/>
  <c r="K14" i="11"/>
  <c r="K45" i="11"/>
  <c r="K43" i="11"/>
  <c r="K16" i="11"/>
  <c r="K26" i="11"/>
  <c r="K37" i="11"/>
  <c r="K31" i="11"/>
  <c r="K28" i="11"/>
  <c r="K23" i="11"/>
  <c r="K19" i="11"/>
  <c r="K27" i="11"/>
  <c r="K42" i="11"/>
  <c r="K24" i="11"/>
  <c r="K17" i="11"/>
  <c r="K39" i="11"/>
  <c r="K29" i="11"/>
  <c r="K13" i="11"/>
  <c r="G44" i="11"/>
  <c r="G45" i="11"/>
  <c r="G43" i="11"/>
  <c r="G42" i="11"/>
  <c r="L12" i="10"/>
  <c r="G45" i="10"/>
  <c r="G44" i="10"/>
  <c r="G42" i="10"/>
  <c r="G43" i="10"/>
  <c r="L43" i="10" s="1"/>
  <c r="J19" i="10"/>
  <c r="L19" i="10" s="1"/>
  <c r="J14" i="10"/>
  <c r="L14" i="10" s="1"/>
  <c r="J29" i="10"/>
  <c r="L29" i="10" s="1"/>
  <c r="J11" i="10"/>
  <c r="L11" i="10" s="1"/>
  <c r="J42" i="10"/>
  <c r="J40" i="10"/>
  <c r="J21" i="10"/>
  <c r="L21" i="10" s="1"/>
  <c r="J36" i="10"/>
  <c r="L36" i="10" s="1"/>
  <c r="J34" i="10"/>
  <c r="J45" i="10"/>
  <c r="J16" i="10"/>
  <c r="J24" i="10"/>
  <c r="L24" i="10" s="1"/>
  <c r="J31" i="10"/>
  <c r="L31" i="10" s="1"/>
  <c r="J26" i="10"/>
  <c r="L26" i="10" s="1"/>
  <c r="I18" i="10"/>
  <c r="I44" i="10"/>
  <c r="E62" i="10"/>
  <c r="I13" i="10"/>
  <c r="L13" i="10" s="1"/>
  <c r="I28" i="10"/>
  <c r="L28" i="10" s="1"/>
  <c r="I39" i="10"/>
  <c r="I33" i="10"/>
  <c r="I23" i="10"/>
  <c r="L32" i="10"/>
  <c r="L27" i="10"/>
  <c r="H38" i="10"/>
  <c r="H40" i="10"/>
  <c r="H39" i="10"/>
  <c r="L37" i="10"/>
  <c r="K45" i="10"/>
  <c r="K13" i="10"/>
  <c r="K39" i="10"/>
  <c r="K36" i="10"/>
  <c r="K44" i="10"/>
  <c r="K11" i="10"/>
  <c r="K34" i="10"/>
  <c r="K19" i="10"/>
  <c r="K33" i="10"/>
  <c r="K40" i="10"/>
  <c r="K17" i="10"/>
  <c r="K27" i="10"/>
  <c r="K14" i="10"/>
  <c r="K21" i="10"/>
  <c r="K28" i="10"/>
  <c r="K22" i="10"/>
  <c r="K24" i="10"/>
  <c r="K42" i="10"/>
  <c r="K16" i="10"/>
  <c r="K43" i="10"/>
  <c r="K12" i="10"/>
  <c r="K26" i="10"/>
  <c r="K29" i="10"/>
  <c r="K38" i="10"/>
  <c r="K32" i="10"/>
  <c r="K23" i="10"/>
  <c r="K18" i="10"/>
  <c r="K31" i="10"/>
  <c r="K37" i="10"/>
  <c r="L22" i="10"/>
  <c r="L17" i="10"/>
  <c r="M65" i="11" l="1"/>
  <c r="C15" i="12" s="1"/>
  <c r="L39" i="11"/>
  <c r="M62" i="11"/>
  <c r="C14" i="12" s="1"/>
  <c r="M62" i="10"/>
  <c r="M63" i="10"/>
  <c r="L45" i="11"/>
  <c r="L40" i="11"/>
  <c r="L42" i="11"/>
  <c r="N43" i="11"/>
  <c r="O43" i="11"/>
  <c r="N31" i="11"/>
  <c r="O31" i="11"/>
  <c r="N11" i="11"/>
  <c r="M11" i="11" s="1"/>
  <c r="N24" i="11"/>
  <c r="O24" i="11"/>
  <c r="N33" i="11"/>
  <c r="O33" i="11"/>
  <c r="N23" i="11"/>
  <c r="O23" i="11"/>
  <c r="N38" i="11"/>
  <c r="O38" i="11"/>
  <c r="N16" i="11"/>
  <c r="O16" i="11"/>
  <c r="N34" i="11"/>
  <c r="O34" i="11"/>
  <c r="N28" i="11"/>
  <c r="O28" i="11"/>
  <c r="O39" i="11"/>
  <c r="N39" i="11"/>
  <c r="O45" i="11"/>
  <c r="N45" i="11"/>
  <c r="L45" i="10"/>
  <c r="N44" i="11"/>
  <c r="O44" i="11"/>
  <c r="L28" i="11"/>
  <c r="L43" i="11"/>
  <c r="N29" i="11"/>
  <c r="O29" i="11"/>
  <c r="N21" i="11"/>
  <c r="O21" i="11"/>
  <c r="L44" i="11"/>
  <c r="L24" i="11"/>
  <c r="L33" i="11"/>
  <c r="L11" i="11"/>
  <c r="L34" i="11"/>
  <c r="N42" i="11"/>
  <c r="O42" i="11"/>
  <c r="N26" i="11"/>
  <c r="O26" i="11"/>
  <c r="N36" i="11"/>
  <c r="O36" i="11"/>
  <c r="O19" i="11"/>
  <c r="N19" i="11"/>
  <c r="O14" i="11"/>
  <c r="N14" i="11"/>
  <c r="N18" i="11"/>
  <c r="O18" i="11"/>
  <c r="N13" i="11"/>
  <c r="O13" i="11"/>
  <c r="N40" i="11"/>
  <c r="O40" i="11"/>
  <c r="L39" i="10"/>
  <c r="L40" i="10"/>
  <c r="L42" i="10"/>
  <c r="L44" i="10"/>
  <c r="N16" i="10"/>
  <c r="O16" i="10"/>
  <c r="O23" i="10"/>
  <c r="N23" i="10"/>
  <c r="O13" i="10"/>
  <c r="N13" i="10"/>
  <c r="O26" i="10"/>
  <c r="N26" i="10"/>
  <c r="O14" i="10"/>
  <c r="N14" i="10"/>
  <c r="N45" i="10"/>
  <c r="O45" i="10"/>
  <c r="L16" i="10"/>
  <c r="O38" i="10"/>
  <c r="N38" i="10"/>
  <c r="N18" i="10"/>
  <c r="O18" i="10"/>
  <c r="L18" i="10"/>
  <c r="N39" i="10"/>
  <c r="O39" i="10"/>
  <c r="L38" i="10"/>
  <c r="O33" i="10"/>
  <c r="N33" i="10"/>
  <c r="N31" i="10"/>
  <c r="O31" i="10"/>
  <c r="O34" i="10"/>
  <c r="N34" i="10"/>
  <c r="O19" i="10"/>
  <c r="N19" i="10"/>
  <c r="O43" i="10"/>
  <c r="N43" i="10"/>
  <c r="N28" i="10"/>
  <c r="O28" i="10"/>
  <c r="O21" i="10"/>
  <c r="N21" i="10"/>
  <c r="N29" i="10"/>
  <c r="O29" i="10"/>
  <c r="O44" i="10"/>
  <c r="N44" i="10"/>
  <c r="O40" i="10"/>
  <c r="N40" i="10"/>
  <c r="N24" i="10"/>
  <c r="O24" i="10"/>
  <c r="N36" i="10"/>
  <c r="O36" i="10"/>
  <c r="O11" i="10"/>
  <c r="N11" i="10"/>
  <c r="N42" i="10"/>
  <c r="O42" i="10"/>
  <c r="L33" i="10"/>
  <c r="L34" i="10"/>
  <c r="L23" i="10"/>
  <c r="M19" i="11" l="1"/>
  <c r="M39" i="11"/>
  <c r="M14" i="10"/>
  <c r="M13" i="10"/>
  <c r="M14" i="11"/>
  <c r="M45" i="11"/>
  <c r="M21" i="11"/>
  <c r="M31" i="11"/>
  <c r="M16" i="11"/>
  <c r="M29" i="10"/>
  <c r="M28" i="10"/>
  <c r="M31" i="10"/>
  <c r="M18" i="10"/>
  <c r="M43" i="11"/>
  <c r="M23" i="11"/>
  <c r="M11" i="10"/>
  <c r="M44" i="10"/>
  <c r="M21" i="10"/>
  <c r="M34" i="10"/>
  <c r="M39" i="10"/>
  <c r="M45" i="10"/>
  <c r="M34" i="11"/>
  <c r="M38" i="11"/>
  <c r="M33" i="11"/>
  <c r="M42" i="11"/>
  <c r="M44" i="11"/>
  <c r="M36" i="11"/>
  <c r="M40" i="11"/>
  <c r="M28" i="11"/>
  <c r="M29" i="11"/>
  <c r="M26" i="11"/>
  <c r="M24" i="11"/>
  <c r="M18" i="11"/>
  <c r="M13" i="11"/>
  <c r="M42" i="10"/>
  <c r="M43" i="10"/>
  <c r="M36" i="10"/>
  <c r="B14" i="12"/>
  <c r="M24" i="10"/>
  <c r="M40" i="10"/>
  <c r="M19" i="10"/>
  <c r="M16" i="10"/>
  <c r="M26" i="10"/>
  <c r="M23" i="10"/>
  <c r="M33" i="10"/>
  <c r="M38" i="10"/>
  <c r="N46" i="11"/>
  <c r="O46" i="11"/>
  <c r="O46" i="10"/>
  <c r="N46" i="10"/>
  <c r="G53" i="10" l="1"/>
  <c r="M53" i="10" s="1"/>
  <c r="C7" i="12"/>
  <c r="B7" i="12"/>
  <c r="G53" i="11"/>
  <c r="E57" i="10" l="1"/>
  <c r="B9" i="12"/>
  <c r="M53" i="11"/>
  <c r="E57" i="11" s="1"/>
  <c r="E59" i="11" l="1"/>
  <c r="M59" i="11" s="1"/>
  <c r="C9" i="12"/>
  <c r="C11" i="12" s="1"/>
  <c r="M57" i="11" l="1"/>
  <c r="C12" i="12" s="1"/>
  <c r="C20" i="12" s="1"/>
  <c r="M79" i="11" l="1"/>
  <c r="M81" i="11" s="1"/>
  <c r="M82" i="11" s="1"/>
  <c r="M85" i="11" l="1"/>
  <c r="M86" i="11" s="1"/>
  <c r="M83" i="11"/>
  <c r="M109" i="11" l="1"/>
  <c r="M102" i="11"/>
  <c r="C21" i="12"/>
  <c r="C22" i="12" s="1"/>
  <c r="C39" i="12" s="1"/>
  <c r="M107" i="11"/>
  <c r="M84" i="11"/>
  <c r="M117" i="11" l="1"/>
  <c r="C26" i="12"/>
  <c r="C28" i="12"/>
  <c r="C36" i="12" s="1"/>
  <c r="C29" i="12" l="1"/>
  <c r="M96" i="10"/>
  <c r="B25" i="12" s="1"/>
  <c r="B11" i="12" l="1"/>
  <c r="B24" i="12" l="1"/>
  <c r="M100" i="10"/>
  <c r="E59" i="10"/>
  <c r="M59" i="10" s="1"/>
  <c r="M57" i="10"/>
  <c r="B23" i="12"/>
  <c r="B12" i="12" l="1"/>
  <c r="M65" i="10" l="1"/>
  <c r="M79" i="10" l="1"/>
  <c r="M81" i="10" s="1"/>
  <c r="B15" i="12"/>
  <c r="B20" i="12" s="1"/>
  <c r="M82" i="10" l="1"/>
  <c r="M102" i="10" s="1"/>
  <c r="M85" i="10"/>
  <c r="M86" i="10" s="1"/>
  <c r="M83" i="10"/>
  <c r="M109" i="10" l="1"/>
  <c r="B21" i="12"/>
  <c r="B22" i="12" s="1"/>
  <c r="D8" i="13" s="1"/>
  <c r="M84" i="10"/>
  <c r="M107" i="10"/>
  <c r="B26" i="12" l="1"/>
  <c r="B28" i="12"/>
  <c r="B36" i="12" s="1"/>
  <c r="M117" i="10"/>
  <c r="B39" i="12"/>
  <c r="F9" i="13"/>
  <c r="F11" i="13" s="1"/>
  <c r="M88" i="10"/>
  <c r="M89" i="10" s="1"/>
  <c r="M103" i="10" s="1"/>
  <c r="M88" i="11"/>
  <c r="M89" i="11" s="1"/>
  <c r="M103" i="11" s="1"/>
  <c r="B29" i="12" l="1"/>
  <c r="C30" i="12"/>
  <c r="C32" i="12" s="1"/>
  <c r="C34" i="12" s="1"/>
  <c r="M119" i="11"/>
  <c r="B30" i="12"/>
  <c r="M119" i="10"/>
  <c r="B32" i="12" l="1"/>
  <c r="B34" i="12" s="1"/>
  <c r="B38" i="12" s="1"/>
  <c r="C38" i="12"/>
  <c r="C35" i="12"/>
  <c r="B35" i="12" l="1"/>
</calcChain>
</file>

<file path=xl/sharedStrings.xml><?xml version="1.0" encoding="utf-8"?>
<sst xmlns="http://schemas.openxmlformats.org/spreadsheetml/2006/main" count="886" uniqueCount="437">
  <si>
    <t>Timer pr. uge</t>
  </si>
  <si>
    <t>Kr. pr. time</t>
  </si>
  <si>
    <t>ATP</t>
  </si>
  <si>
    <t>Kommune:</t>
  </si>
  <si>
    <t>Borger:</t>
  </si>
  <si>
    <t>Aktuelle lønsatser pr.</t>
  </si>
  <si>
    <t>Søn- hell. Dage</t>
  </si>
  <si>
    <t>Lørdags-godtgør</t>
  </si>
  <si>
    <t>Forskudt tid aften</t>
  </si>
  <si>
    <t>Forskudt tid nat</t>
  </si>
  <si>
    <t>Tidsrum</t>
  </si>
  <si>
    <t>Timeløn</t>
  </si>
  <si>
    <t>Søn-hell</t>
  </si>
  <si>
    <t>Forskudt aften</t>
  </si>
  <si>
    <t>Forskudt nat</t>
  </si>
  <si>
    <t>Timeløn rådighed</t>
  </si>
  <si>
    <t>Beløb</t>
  </si>
  <si>
    <t>Mandag</t>
  </si>
  <si>
    <t>Kl. 0-6</t>
  </si>
  <si>
    <t xml:space="preserve"> </t>
  </si>
  <si>
    <t>Kl. 6-17</t>
  </si>
  <si>
    <t>Kl. 17-23</t>
  </si>
  <si>
    <t>Kl. 23-0</t>
  </si>
  <si>
    <t>Tirsdag</t>
  </si>
  <si>
    <t>Onsdag</t>
  </si>
  <si>
    <t>Torsdag</t>
  </si>
  <si>
    <t>Fredag</t>
  </si>
  <si>
    <t>Lørdag</t>
  </si>
  <si>
    <t>Søndag</t>
  </si>
  <si>
    <t>Timer/dag</t>
  </si>
  <si>
    <t>Helligd.</t>
  </si>
  <si>
    <t>Pr. uge</t>
  </si>
  <si>
    <t>Ansatte</t>
  </si>
  <si>
    <t>Timer/år/ansat</t>
  </si>
  <si>
    <t>Kvalifikationstill. (eks. respiration)</t>
  </si>
  <si>
    <t>Feriepenge</t>
  </si>
  <si>
    <t>Lønkr. pr. uge</t>
  </si>
  <si>
    <t>Ferie/fridage</t>
  </si>
  <si>
    <t>Arbejdsgiver tilskud</t>
  </si>
  <si>
    <t>Pension</t>
  </si>
  <si>
    <t>Pension af tillæg (aften/nat)</t>
  </si>
  <si>
    <t>AES</t>
  </si>
  <si>
    <t>DA/LO uddannelsesfond</t>
  </si>
  <si>
    <t>Samlet ugentligt netto lønforbrug</t>
  </si>
  <si>
    <t>Gennemsnitlig årlige forbrug. Uden rummelighed</t>
  </si>
  <si>
    <t>Gennemsnitlig årlige forbrug. Med rummelighed</t>
  </si>
  <si>
    <t>AUB</t>
  </si>
  <si>
    <t>Rådighed</t>
  </si>
  <si>
    <t>Gennemsnitlige timepris Uden rummelighed</t>
  </si>
  <si>
    <t>Puljetimer pr år</t>
  </si>
  <si>
    <t>Pr år</t>
  </si>
  <si>
    <t>kr pr fuldtidsmedarbejder</t>
  </si>
  <si>
    <t>Pr kvartal</t>
  </si>
  <si>
    <t>Bevillingstimer i alt</t>
  </si>
  <si>
    <t>Pr måned</t>
  </si>
  <si>
    <t>pr fuldtidmedarbejder</t>
  </si>
  <si>
    <t xml:space="preserve">Arbejdstimer </t>
  </si>
  <si>
    <t>Fuldtidsmedarbejdere</t>
  </si>
  <si>
    <t>kr i samlet bevilling</t>
  </si>
  <si>
    <t>Enheder/tekst</t>
  </si>
  <si>
    <t>Stk. i bevillingen</t>
  </si>
  <si>
    <t>Antal timer</t>
  </si>
  <si>
    <t>Gennemsnitlige månedlige forbrug. Uden rummelighed</t>
  </si>
  <si>
    <t>Gennemsnitlige månedlige forbrug. Med rummelighed</t>
  </si>
  <si>
    <t>I %</t>
  </si>
  <si>
    <t>Gennemsnitlig timepris Med rummelighed</t>
  </si>
  <si>
    <t>Norm timer pr uge</t>
  </si>
  <si>
    <t>Timeløn Norm timer</t>
  </si>
  <si>
    <t>Timer rådighed pr uge</t>
  </si>
  <si>
    <t>Kl. 6-08</t>
  </si>
  <si>
    <t>Kl. 08-17</t>
  </si>
  <si>
    <r>
      <t>Tillæg søgnehelligdage</t>
    </r>
    <r>
      <rPr>
        <b/>
        <vertAlign val="superscript"/>
        <sz val="9"/>
        <rFont val="Verdana"/>
        <family val="2"/>
      </rPr>
      <t>1</t>
    </r>
  </si>
  <si>
    <t xml:space="preserve">Årets alm. helligdage: </t>
  </si>
  <si>
    <t>1. juledag, 2. juledag, Nytårsdag, Skærtorsdag, Langfredag, 2. Påskedag, Kristi Himmelfart, Bededag og 2.Pinsedag</t>
  </si>
  <si>
    <t xml:space="preserve">Særlige helligdage: </t>
  </si>
  <si>
    <t>Juleaftensdag hele dagen. 1.maj, grundlovsdag og nytårsaftensdag fra kl. 12.00 til 24.00, 1,5 dage samlet for de 3.</t>
  </si>
  <si>
    <t xml:space="preserve">Helligdage i alt: </t>
  </si>
  <si>
    <t>11,5 dage</t>
  </si>
  <si>
    <t>AKUT</t>
  </si>
  <si>
    <t>AUA</t>
  </si>
  <si>
    <t>Årligt gennemsnit</t>
  </si>
  <si>
    <t>AFU</t>
  </si>
  <si>
    <t>AES+AFU</t>
  </si>
  <si>
    <t>Andre udgifter efter regning</t>
  </si>
  <si>
    <t>kr/time</t>
  </si>
  <si>
    <t>Forsikring</t>
  </si>
  <si>
    <t>Pr. år</t>
  </si>
  <si>
    <t>9 dage</t>
  </si>
  <si>
    <t>Tillæg puljetimer årlige</t>
  </si>
  <si>
    <t>Tillæg norm timer ugentlige</t>
  </si>
  <si>
    <t>Pr. time</t>
  </si>
  <si>
    <t>Kr pr fuldtidmedarbejder</t>
  </si>
  <si>
    <t>Oplæringstimer</t>
  </si>
  <si>
    <t>Løse timer (P-møde, mus)</t>
  </si>
  <si>
    <t>Timer pr år</t>
  </si>
  <si>
    <t>A conto sygdom</t>
  </si>
  <si>
    <t>Sygdomsprocent</t>
  </si>
  <si>
    <t>Årlige udgifter</t>
  </si>
  <si>
    <t>Kompetencefond og "Fra ufaglært til faglært"</t>
  </si>
  <si>
    <t>Pension af tillæg (Weekend/helligdags)</t>
  </si>
  <si>
    <t>Barnets sygedag</t>
  </si>
  <si>
    <t>SPARK og tryghedspuljen</t>
  </si>
  <si>
    <t>Budget ved beregning af tilskud efter servicelovens §§95 og 96.</t>
  </si>
  <si>
    <t>Bemærkninger</t>
  </si>
  <si>
    <t>Grundløn</t>
  </si>
  <si>
    <t>Særtillæg</t>
  </si>
  <si>
    <t>S/H</t>
  </si>
  <si>
    <t>Grundløn samt tillæg i alt</t>
  </si>
  <si>
    <t>Ferie</t>
  </si>
  <si>
    <t>Lovpligtige bidrag</t>
  </si>
  <si>
    <t>Uddannelsesbidrag</t>
  </si>
  <si>
    <t>Barselsfond</t>
  </si>
  <si>
    <t xml:space="preserve">Sygdom </t>
  </si>
  <si>
    <t>APV hjælper timer</t>
  </si>
  <si>
    <t>Efter regning</t>
  </si>
  <si>
    <t>Personaletimer</t>
  </si>
  <si>
    <t>Personalemøder og MUS</t>
  </si>
  <si>
    <t>Praktikplads AUB</t>
  </si>
  <si>
    <t>Særlige tillæg til timeløn, aften-, nat-, lørdags- og søndagstillæg</t>
  </si>
  <si>
    <t>Ferie jf. ferielov evt. inkl. 6. ferie, hvis det gives</t>
  </si>
  <si>
    <t>ATP, AES, AUB, AFU evt. FIB</t>
  </si>
  <si>
    <t>Kr pr km</t>
  </si>
  <si>
    <t>Antal km</t>
  </si>
  <si>
    <t>Kørsel til APV sted. Kilometer</t>
  </si>
  <si>
    <t>Kr pr APV</t>
  </si>
  <si>
    <t>Kr pr time</t>
  </si>
  <si>
    <t>Timer pr APV</t>
  </si>
  <si>
    <t>Kørsel til APV sted. Tid</t>
  </si>
  <si>
    <t>Lønadministration</t>
  </si>
  <si>
    <t xml:space="preserve">Beregning af Administrationsbidrag </t>
  </si>
  <si>
    <t>Tilskud til arbejdsgiveropgaver (overheadprocent)</t>
  </si>
  <si>
    <t xml:space="preserve">Baggrund for beregning af lønadministration pr. hjælper </t>
  </si>
  <si>
    <t>Beregning til forklaring af antal hjælpere i en gennemsnitsordning</t>
  </si>
  <si>
    <t xml:space="preserve">Med udgangspunkt i erfaring og det forhold, at borgeren har ansvaret for at have tilstrækkeligt med hjælpere </t>
  </si>
  <si>
    <t xml:space="preserve"> i nedenstående model. Modellen har vist sig retvisende som gennemsnitsbetragtning. </t>
  </si>
  <si>
    <t xml:space="preserve">MODEL </t>
  </si>
  <si>
    <t xml:space="preserve">Metode </t>
  </si>
  <si>
    <t xml:space="preserve">Faste hjælpere </t>
  </si>
  <si>
    <t xml:space="preserve">Afløsere/vikar </t>
  </si>
  <si>
    <t>Total hjælper tilknytning i team</t>
  </si>
  <si>
    <t>under 20</t>
  </si>
  <si>
    <t xml:space="preserve">Erfaringsbaseret </t>
  </si>
  <si>
    <t>20-40</t>
  </si>
  <si>
    <t>40-72</t>
  </si>
  <si>
    <t>73+</t>
  </si>
  <si>
    <t xml:space="preserve">"antal timer / 24 + 1 vikar pr. påbegyndt 4 hjælpere" </t>
  </si>
  <si>
    <t xml:space="preserve">beregnet </t>
  </si>
  <si>
    <t>Personaleomsætning beregnet som 30 % inkl. vikar - afrundet efter normale principper</t>
  </si>
  <si>
    <t xml:space="preserve">Beregning af Lønadministrationstakst </t>
  </si>
  <si>
    <t>Kilde for satser:</t>
  </si>
  <si>
    <t>Administration arbejdsgiver</t>
  </si>
  <si>
    <t>Inkl. Administration</t>
  </si>
  <si>
    <t>Administration arbejdsgiver månedlig</t>
  </si>
  <si>
    <t>Udgifter efter regning til a conto</t>
  </si>
  <si>
    <t>Samlet udgifter efter regning til a conto</t>
  </si>
  <si>
    <t>Månedlig LØN samt udgifter efter regning til a conto</t>
  </si>
  <si>
    <t>Månedlig ADM til a conto</t>
  </si>
  <si>
    <t>Samlet andre udgifter efter regning</t>
  </si>
  <si>
    <t>Inkl. udgifter efter regning til a conto</t>
  </si>
  <si>
    <t>Inkl andre udg. efter regning</t>
  </si>
  <si>
    <t xml:space="preserve">Efter regning. </t>
  </si>
  <si>
    <t>Sats</t>
  </si>
  <si>
    <t>Antal gange/år</t>
  </si>
  <si>
    <t>Timer/vagt</t>
  </si>
  <si>
    <t>Vederlag ved tilkald i rådighedstjeneste</t>
  </si>
  <si>
    <t>Antal dage/år</t>
  </si>
  <si>
    <t>Ud over vederlag ved tilkald i rådighedstjeneste gives der for den pågældende time sædvanlig løn. Dvs. der er ekstraudgifter ved difference fra rådighedssats til grundløn + eventuelle manglende nat- samt weekendtillæg</t>
  </si>
  <si>
    <t>Vederlag forbliven i tjenesten+ ved AKUT-tilkald</t>
  </si>
  <si>
    <t>Timetabel</t>
  </si>
  <si>
    <t>Type af timer</t>
  </si>
  <si>
    <t>Normtimer</t>
  </si>
  <si>
    <t>Heraf rådighedstimer</t>
  </si>
  <si>
    <t>Puljetimer</t>
  </si>
  <si>
    <t>APV timer</t>
  </si>
  <si>
    <t>Samlet timer årligt</t>
  </si>
  <si>
    <t>Løn inkl. rum gennemsnitlig timepris</t>
  </si>
  <si>
    <t>KL's anbefaling 3,5%</t>
  </si>
  <si>
    <t>Budget beløb i alt til a conto månedligt</t>
  </si>
  <si>
    <t>Heraf Sygdom efter regning</t>
  </si>
  <si>
    <t>Heraf APV udgift efter regning</t>
  </si>
  <si>
    <t>Budget beløb i alt pr måned</t>
  </si>
  <si>
    <t>Løn puljetimer og rådighedstimer er inkl. her.</t>
  </si>
  <si>
    <t>Fuldtidsansatte</t>
  </si>
  <si>
    <t>Sats årligt</t>
  </si>
  <si>
    <t>Årligt</t>
  </si>
  <si>
    <t>Beregnet på baggrund af stedtillæg =</t>
  </si>
  <si>
    <t xml:space="preserve">Stedtillæg: </t>
  </si>
  <si>
    <t>Enhed</t>
  </si>
  <si>
    <t>Kr pr enhed</t>
  </si>
  <si>
    <t>Antal APV</t>
  </si>
  <si>
    <t>Timer</t>
  </si>
  <si>
    <t>Km</t>
  </si>
  <si>
    <t xml:space="preserve">Forsikring: </t>
  </si>
  <si>
    <t>Pensionssatser</t>
  </si>
  <si>
    <t>Pension Grundløn</t>
  </si>
  <si>
    <t>Aftentillæg</t>
  </si>
  <si>
    <t>Nattillæg</t>
  </si>
  <si>
    <t>Lørdagstillæg</t>
  </si>
  <si>
    <t>Søndagstillæg</t>
  </si>
  <si>
    <t>Helligdagstillæg</t>
  </si>
  <si>
    <t>Rådighedsandel</t>
  </si>
  <si>
    <t>Sats/andel</t>
  </si>
  <si>
    <t>Vederlag ved Forbliven i tjenesten</t>
  </si>
  <si>
    <t>Andel pr påbegyndt time</t>
  </si>
  <si>
    <t>DA/LO:</t>
  </si>
  <si>
    <t>1) Helligdage:</t>
  </si>
  <si>
    <t>Feriepenge:</t>
  </si>
  <si>
    <t>Pension:</t>
  </si>
  <si>
    <t>Særtillæg:</t>
  </si>
  <si>
    <t>ATP, AUB, AES, AFU</t>
  </si>
  <si>
    <t>2) Udgifter ved tilkald i rådighedstjeneste:</t>
  </si>
  <si>
    <t>AKUT, AUA og Kompetencefond</t>
  </si>
  <si>
    <t>Vederlag ved Tilkald i Rådighedstjeneste</t>
  </si>
  <si>
    <t>Vederlag ved AKUT tilkald:</t>
  </si>
  <si>
    <t>Barselsfond:</t>
  </si>
  <si>
    <t>Lovpligtige bidrag mm.</t>
  </si>
  <si>
    <t>Andel for timen</t>
  </si>
  <si>
    <t>Overenskomstbestemte satser</t>
  </si>
  <si>
    <t xml:space="preserve"> Forhøjet pensionssats</t>
  </si>
  <si>
    <t>Kr. pr time</t>
  </si>
  <si>
    <t>Lovbestemste satser</t>
  </si>
  <si>
    <t>SOSU-overenskomst</t>
  </si>
  <si>
    <t>* Rummelighed dækker eksempelvis anciennitet, overenskomstmæssige stigninger i løbet af året, eventuelle ekstra særtillæg ved omrokering af timerne til dyrere timer i et mindre omfang.</t>
  </si>
  <si>
    <t>Rummelighed jf. KL *</t>
  </si>
  <si>
    <t>Udgift APV ekstern konsulent</t>
  </si>
  <si>
    <t>Statens takst</t>
  </si>
  <si>
    <t>Andre satser</t>
  </si>
  <si>
    <t>Søn- hell. dage</t>
  </si>
  <si>
    <t>Timepris</t>
  </si>
  <si>
    <t>Der regnes altid tillæg pr halve time</t>
  </si>
  <si>
    <t>Løse timer (P-møde, MUS)</t>
  </si>
  <si>
    <t>Timer/tilkald</t>
  </si>
  <si>
    <t>Feriefridage - gives denne?</t>
  </si>
  <si>
    <t>Gennemsnitlige timepris. Uden rummelighed</t>
  </si>
  <si>
    <t>Gennemsnitlig timepris. Med rummelighed</t>
  </si>
  <si>
    <t>Hjælpertimer til APV, inklusiv sociale bidrag</t>
  </si>
  <si>
    <t>Generel pris- og lønstigning, pct.</t>
  </si>
  <si>
    <t>Fraværsprocent</t>
  </si>
  <si>
    <t>Udgift ekstern APV konsulent</t>
  </si>
  <si>
    <t>Når der aflønnes efter SOSU-overenskomt</t>
  </si>
  <si>
    <t>Pension - almindelig eller forhøjet sats?</t>
  </si>
  <si>
    <t>Almindelig pensionsats</t>
  </si>
  <si>
    <t>Hjælpertimer til APV, inkl. sociale bidrag</t>
  </si>
  <si>
    <t>3) Rådighedstillæg</t>
  </si>
  <si>
    <t>I SOSU-overenskomstens arbejdstidsaftale 79.01 §14 gives ikke rådighedstimer fra vagtværelse, kun fra hjælpers egen bopæl, disse afregnes med 1/3 grundløn inkl. evt. kvalifikation. Rådighedstimer fra vagtværelse kan kun gives jf. BPA-HHOK §18, disse afregnes i så fald med 3/4 grundløn inkl. evt. kvalifikation.</t>
  </si>
  <si>
    <t>Resultatet er, at enten kan SOSU-kommuner ikke udmåle rådighedstimer eller også accepteres, at de udmåler jf. BPA-HHOK på dette punkt. Derfor er rådighed her regnet som 3/4.</t>
  </si>
  <si>
    <t>Oversigtsark til kommunens budgetlægning</t>
  </si>
  <si>
    <t>SOSU beregning</t>
  </si>
  <si>
    <t>SOSU-OK</t>
  </si>
  <si>
    <t>Pension jf. overenskomst.</t>
  </si>
  <si>
    <t>Løn inkl. rummelighed</t>
  </si>
  <si>
    <t>Ekskl. rummelighed</t>
  </si>
  <si>
    <t>APV udgift til ekstern konsulent</t>
  </si>
  <si>
    <t xml:space="preserve">Efter regning  </t>
  </si>
  <si>
    <t>Månedlig beløb i alt til a conto inkl. administration og ekskl. sygdom og APV udgift</t>
  </si>
  <si>
    <t>Lønadministration pr. hjælper</t>
  </si>
  <si>
    <t>Årligt tilskud</t>
  </si>
  <si>
    <t>Tilskud i alt</t>
  </si>
  <si>
    <t>Samlet udmåling - vælg overenskomst</t>
  </si>
  <si>
    <r>
      <t>Jf. KL's notat "</t>
    </r>
    <r>
      <rPr>
        <b/>
        <i/>
        <sz val="8"/>
        <color theme="1"/>
        <rFont val="Verdana"/>
        <family val="2"/>
      </rPr>
      <t>Beregning af tilskud til borgerstyret personlig assistance (BPA)</t>
    </r>
    <r>
      <rPr>
        <sz val="8"/>
        <rFont val="Verdana"/>
        <family val="2"/>
      </rPr>
      <t>" afsnit 3.4 fra oktober 2010: "</t>
    </r>
    <r>
      <rPr>
        <i/>
        <sz val="8"/>
        <color theme="1"/>
        <rFont val="Verdana"/>
        <family val="2"/>
      </rPr>
      <t>Model 2: Overheadberegning af tilskud til arbejdsgiveropgaven Kommunen kan beregne tilskuddet til arbejdsgiveropgaven som en fast overhead-procent af tilskuddet til BPA. "</t>
    </r>
  </si>
  <si>
    <r>
      <t>KREVI – Det Kommunale og Regionale Evalueringsinstitut udgav i februar 2011 analysen; ”</t>
    </r>
    <r>
      <rPr>
        <b/>
        <sz val="8"/>
        <color theme="1"/>
        <rFont val="Verdana"/>
        <family val="2"/>
      </rPr>
      <t>Sammenligning af kommunernes administration: To metoder – to resultater</t>
    </r>
    <r>
      <rPr>
        <sz val="8"/>
        <rFont val="Verdana"/>
        <family val="2"/>
      </rPr>
      <t>”.  Af denne analyse fremgår, at ”</t>
    </r>
    <r>
      <rPr>
        <i/>
        <sz val="8"/>
        <color theme="1"/>
        <rFont val="Verdana"/>
        <family val="2"/>
      </rPr>
      <t>på landsplan udgør administrationsudgifter 8,7 % af nettodriftsudgifterne opgjort ud fra regnskabsdata og 9,2 %, hvis vi opgør det med målet for personaledata.</t>
    </r>
    <r>
      <rPr>
        <sz val="8"/>
        <rFont val="Verdana"/>
        <family val="2"/>
      </rPr>
      <t xml:space="preserve">” (p. 16). 
</t>
    </r>
  </si>
  <si>
    <r>
      <t>Jf. KL's notat "</t>
    </r>
    <r>
      <rPr>
        <b/>
        <i/>
        <sz val="8"/>
        <color theme="1"/>
        <rFont val="Verdana"/>
        <family val="2"/>
      </rPr>
      <t>Beregning af tilskud til borgerstyret personlig assistance (BPA)</t>
    </r>
    <r>
      <rPr>
        <sz val="8"/>
        <rFont val="Verdana"/>
        <family val="2"/>
      </rPr>
      <t>" afsnit 3.5 fra oktober 2010: "</t>
    </r>
    <r>
      <rPr>
        <i/>
        <sz val="8"/>
        <color theme="1"/>
        <rFont val="Verdana"/>
        <family val="2"/>
      </rPr>
      <t>Såfremt tilskud til arbejdsgiveropgaven overføres til en forening eller privat virksomhed, er det forudsat at der for BPA-ordninger efter § 96 udmåles 1.643 kr. (2009-priser) årligt pr. hjælper til lønadministration. Dette kommer ud over udmåling til varetagelse af øvrige arbejdsgiveropgaver, jf. afsnit 3.4 ovenfor.</t>
    </r>
    <r>
      <rPr>
        <sz val="8"/>
        <rFont val="Verdana"/>
        <family val="2"/>
      </rPr>
      <t>"</t>
    </r>
  </si>
  <si>
    <t>Ugentlige timer  i ordning</t>
  </si>
  <si>
    <t xml:space="preserve">Personale-omsætning </t>
  </si>
  <si>
    <t xml:space="preserve">Ugentlige timer </t>
  </si>
  <si>
    <t>Beregning af administrationsbidrag</t>
  </si>
  <si>
    <t>Forudsætninger fra overenskomster og lovgivning</t>
  </si>
  <si>
    <t>beregnet</t>
  </si>
  <si>
    <t xml:space="preserve">Årsfremskrivning </t>
  </si>
  <si>
    <t>Pristals-reguleret lønadministra-tionstakst</t>
  </si>
  <si>
    <t>OBS: Indtast/vælg egne værdier i de BLÅ FELTER</t>
  </si>
  <si>
    <r>
      <t>Rådighed</t>
    </r>
    <r>
      <rPr>
        <vertAlign val="superscript"/>
        <sz val="8"/>
        <rFont val="Verdana"/>
        <family val="2"/>
      </rPr>
      <t>3</t>
    </r>
  </si>
  <si>
    <t>APV priser</t>
  </si>
  <si>
    <t>Rummelighed</t>
  </si>
  <si>
    <t>Administration arbejdsgiver årlig, overheadprocent</t>
  </si>
  <si>
    <t>Antal fuldtidsansatte</t>
  </si>
  <si>
    <t>Vederlag ved forbliven i tjenesten, jf. arb.tidsaftale 79.01 §11, stk 5</t>
  </si>
  <si>
    <t>Vederlag ved AKUT-tilkald, jf. arb.tidsaftale 79.01 §9, stk. 2.</t>
  </si>
  <si>
    <r>
      <t>Vederlag ved tilkald i rådighedstjeneste</t>
    </r>
    <r>
      <rPr>
        <b/>
        <vertAlign val="superscript"/>
        <sz val="8"/>
        <rFont val="Verdana"/>
        <family val="2"/>
      </rPr>
      <t>2</t>
    </r>
    <r>
      <rPr>
        <b/>
        <sz val="8"/>
        <rFont val="Verdana"/>
        <family val="2"/>
      </rPr>
      <t>, jf. arb.tidsaftale 79.01 §14,stk. 2</t>
    </r>
  </si>
  <si>
    <t>Lønmodtagernes Feriemidler – administrationsbidrag</t>
  </si>
  <si>
    <t>Lønmodtagernes Feriemidler</t>
  </si>
  <si>
    <t>ansat i ordningen til at sikre vikardækning, så anbefaler branchen borgerne at ansætte hjælpere med udgangspunkt</t>
  </si>
  <si>
    <t>Budget periode</t>
  </si>
  <si>
    <t>Fra dato</t>
  </si>
  <si>
    <t>Til dato</t>
  </si>
  <si>
    <t>Periodemæssig udgift i alt til budget</t>
  </si>
  <si>
    <t>Antal uger i periode</t>
  </si>
  <si>
    <t>Antal uger fra starttidspunkt og et år frem</t>
  </si>
  <si>
    <t>Antal timer pr periode</t>
  </si>
  <si>
    <t>Laves APV</t>
  </si>
  <si>
    <t>Beregnet på baggrund af antal uger i periode.</t>
  </si>
  <si>
    <t>Budget beløb i alt periodemæssigt</t>
  </si>
  <si>
    <t>på Dansk Erhvervs hjemmeside til at beregne overheadprocenten præcist svarende til de konkrete forhold.</t>
  </si>
  <si>
    <r>
      <t xml:space="preserve">Brug beregneren </t>
    </r>
    <r>
      <rPr>
        <i/>
        <u/>
        <sz val="8"/>
        <color theme="10"/>
        <rFont val="Verdana"/>
        <family val="2"/>
      </rPr>
      <t xml:space="preserve">"Beregning af administrationsbidrag BPA" </t>
    </r>
  </si>
  <si>
    <t>Vælg</t>
  </si>
  <si>
    <t>Hjælp til at fastsætte overheadprocent.</t>
  </si>
  <si>
    <t>Administrationsbidrag</t>
  </si>
  <si>
    <t>Antal timer/periode</t>
  </si>
  <si>
    <t>BPA-HHOK</t>
  </si>
  <si>
    <t>BPA-Handicaphjælper-overenskomst</t>
  </si>
  <si>
    <t>Når der aflønnes efter BPA-Handicaphjælper-overenskomst</t>
  </si>
  <si>
    <t>Vederlag ved forbliven i tjenesten, jf. BPA-HHOK §7, stk. 5</t>
  </si>
  <si>
    <t>Vederlag ved AKUT-tilkald, jf. BPA-HHOK §7, stk. 6</t>
  </si>
  <si>
    <r>
      <t>Vederlag ved tilkald i rådighedstjeneste</t>
    </r>
    <r>
      <rPr>
        <b/>
        <vertAlign val="superscript"/>
        <sz val="8"/>
        <rFont val="Verdana"/>
        <family val="2"/>
      </rPr>
      <t>2</t>
    </r>
    <r>
      <rPr>
        <b/>
        <sz val="8"/>
        <rFont val="Verdana"/>
        <family val="2"/>
      </rPr>
      <t>, jf. BPA-HHOK §18</t>
    </r>
  </si>
  <si>
    <t>BPA-HH beregning</t>
  </si>
  <si>
    <t>9 helligdage ved BPA-HHOK og ved SOSU-OK 11,5 dage inkl. særlige fridage</t>
  </si>
  <si>
    <t>BPA-HHOK: DA/LO. SOSU-OK: AKUT-bidrag</t>
  </si>
  <si>
    <t xml:space="preserve">OBS: Indtast/vælg egne værdier i de BLÅ FELTER i de 4 første ark. </t>
  </si>
  <si>
    <t>Få overblikket i det sidste ark "Budgetark"</t>
  </si>
  <si>
    <t>Kr pr ansat</t>
  </si>
  <si>
    <t>Lønadministration (hvis 0 kr., så er omkostningen beregnet i særskilt beregner)</t>
  </si>
  <si>
    <r>
      <t xml:space="preserve">Lønadministration - anvendes detaljeret beregner eller overhead? </t>
    </r>
    <r>
      <rPr>
        <b/>
        <vertAlign val="superscript"/>
        <sz val="8"/>
        <rFont val="Verdana"/>
        <family val="2"/>
      </rPr>
      <t>3</t>
    </r>
  </si>
  <si>
    <t>Ved beregning af tilskud til administrationsudgifter med den særkskilte detaljerede beregningsmodel udarbejdet af DE, i stedet for benyttelse af overheadmodel til beregning af administrationshonorar, medtages lønadministration ikke i ovenstående, i det lønadministration i stedet er medtaget i beregningsmodellen for administrationsudgifter.</t>
  </si>
  <si>
    <t>4) Model for administrationshonorar:</t>
  </si>
  <si>
    <t>3) Model for administrationshonorar:</t>
  </si>
  <si>
    <r>
      <t xml:space="preserve">Lønadministration - anvendes detaljeret beregner eller overhead? </t>
    </r>
    <r>
      <rPr>
        <b/>
        <vertAlign val="superscript"/>
        <sz val="8"/>
        <rFont val="Verdana"/>
        <family val="2"/>
      </rPr>
      <t>4</t>
    </r>
  </si>
  <si>
    <t>3)</t>
  </si>
  <si>
    <t>Kommunenavn</t>
  </si>
  <si>
    <t>Område nr</t>
  </si>
  <si>
    <t>Albertslund</t>
  </si>
  <si>
    <t>Allerød</t>
  </si>
  <si>
    <t>Assens</t>
  </si>
  <si>
    <t>Ballerup</t>
  </si>
  <si>
    <t>Billund</t>
  </si>
  <si>
    <t>Bornholm</t>
  </si>
  <si>
    <t>Brøndby</t>
  </si>
  <si>
    <t>Brønderslev</t>
  </si>
  <si>
    <t>Christiansø</t>
  </si>
  <si>
    <t>Dragør</t>
  </si>
  <si>
    <t>Egedal</t>
  </si>
  <si>
    <t>Esbjerg</t>
  </si>
  <si>
    <t>Fanø</t>
  </si>
  <si>
    <t>Selvvalgt fra kommunens side, reelt 0</t>
  </si>
  <si>
    <t>Favrskov</t>
  </si>
  <si>
    <t>Faxe</t>
  </si>
  <si>
    <t>Fredensborg</t>
  </si>
  <si>
    <t>Fredericia</t>
  </si>
  <si>
    <t>Frederiksberg</t>
  </si>
  <si>
    <t>Frederikshavn</t>
  </si>
  <si>
    <t>Frederikssund</t>
  </si>
  <si>
    <t>Furesø</t>
  </si>
  <si>
    <t>Faaborg-Midtfyn</t>
  </si>
  <si>
    <t>Gentofte</t>
  </si>
  <si>
    <t>Gladsaxe</t>
  </si>
  <si>
    <t>Glostrup</t>
  </si>
  <si>
    <t>Greve</t>
  </si>
  <si>
    <t>Gribskov</t>
  </si>
  <si>
    <t>Guldborgsund</t>
  </si>
  <si>
    <t>Haderslev</t>
  </si>
  <si>
    <t>Halsnæs</t>
  </si>
  <si>
    <t>Hedensted</t>
  </si>
  <si>
    <t>Helsingør</t>
  </si>
  <si>
    <t>Herlev</t>
  </si>
  <si>
    <t>Herning</t>
  </si>
  <si>
    <t>Hillerød</t>
  </si>
  <si>
    <t>Hjørring</t>
  </si>
  <si>
    <t>Holbæk</t>
  </si>
  <si>
    <t>Holstebro</t>
  </si>
  <si>
    <t>Horsens</t>
  </si>
  <si>
    <t>Hvidovre</t>
  </si>
  <si>
    <t>Høje-Taastrup</t>
  </si>
  <si>
    <t>Hørsholm</t>
  </si>
  <si>
    <t>Ikast-Brande</t>
  </si>
  <si>
    <t>Ishøj</t>
  </si>
  <si>
    <t>Jammerbugt</t>
  </si>
  <si>
    <t>Kalundborg</t>
  </si>
  <si>
    <t>Kerteminde</t>
  </si>
  <si>
    <t>Kolding</t>
  </si>
  <si>
    <t>Københavns</t>
  </si>
  <si>
    <t>Køge</t>
  </si>
  <si>
    <t>Langeland</t>
  </si>
  <si>
    <t>Lejre</t>
  </si>
  <si>
    <t>Lemvig</t>
  </si>
  <si>
    <t>Lolland</t>
  </si>
  <si>
    <t>Lyngby-Taarbæk</t>
  </si>
  <si>
    <t>Læsø</t>
  </si>
  <si>
    <t>Mariagerfjord</t>
  </si>
  <si>
    <t>Middelfart</t>
  </si>
  <si>
    <t>Morsø</t>
  </si>
  <si>
    <t>Norddjurs</t>
  </si>
  <si>
    <t>Nordfyns</t>
  </si>
  <si>
    <t>Nyborg</t>
  </si>
  <si>
    <t>Næstved</t>
  </si>
  <si>
    <t>Odder</t>
  </si>
  <si>
    <t>Odense</t>
  </si>
  <si>
    <t>Odsherred</t>
  </si>
  <si>
    <t>Randers</t>
  </si>
  <si>
    <t>Rebild</t>
  </si>
  <si>
    <t>Ringkøbing-Skjern</t>
  </si>
  <si>
    <t>Ringsted</t>
  </si>
  <si>
    <t>Roskilde</t>
  </si>
  <si>
    <t>Rudersdal</t>
  </si>
  <si>
    <t>Rødovre</t>
  </si>
  <si>
    <t>Samsø</t>
  </si>
  <si>
    <t>Silkeborg</t>
  </si>
  <si>
    <t>Skanderborg</t>
  </si>
  <si>
    <t>Skive</t>
  </si>
  <si>
    <t>Slagelse</t>
  </si>
  <si>
    <t>Solrød</t>
  </si>
  <si>
    <t>Sorø</t>
  </si>
  <si>
    <t>Stevns</t>
  </si>
  <si>
    <t>Struer</t>
  </si>
  <si>
    <t>Svendborg</t>
  </si>
  <si>
    <t>Syddjurs</t>
  </si>
  <si>
    <t>Sønderborg</t>
  </si>
  <si>
    <t>Thisted</t>
  </si>
  <si>
    <t>Tønder</t>
  </si>
  <si>
    <t>Tårnby</t>
  </si>
  <si>
    <t>Vallensbæk</t>
  </si>
  <si>
    <t>Varde</t>
  </si>
  <si>
    <t>Vejen</t>
  </si>
  <si>
    <t>Vejle</t>
  </si>
  <si>
    <t>Vesthimmerlands</t>
  </si>
  <si>
    <t>Viborg</t>
  </si>
  <si>
    <t>Vordingborg</t>
  </si>
  <si>
    <t>Vælg kommune her</t>
  </si>
  <si>
    <t>Ærø</t>
  </si>
  <si>
    <t>Aabenraa</t>
  </si>
  <si>
    <t>Aalborg</t>
  </si>
  <si>
    <t>Aarhus</t>
  </si>
  <si>
    <t>Lønsatser timelønninger</t>
  </si>
  <si>
    <t>Løntrin</t>
  </si>
  <si>
    <t>Handicaphjælper grundløn</t>
  </si>
  <si>
    <t>Handicaphjælper 3 års anciennitet</t>
  </si>
  <si>
    <t>Pr</t>
  </si>
  <si>
    <t>Stedtillæg</t>
  </si>
  <si>
    <t>Handicaphjælper med SSH</t>
  </si>
  <si>
    <t>Handicaphjælper med SSH 4 års erfaring</t>
  </si>
  <si>
    <t>Handicaphjælper med SSA</t>
  </si>
  <si>
    <t>Handicaphjælper SSH 11 års eller SSA 4 års erfaring</t>
  </si>
  <si>
    <t>Handicaphjælper SSA 10 års erfaring</t>
  </si>
  <si>
    <t>Som udgangspunkt vælges timepris (trin 11) inkl. stedtillæg samt løntillæg til ufaglærte. Hvis der i bevilling gives højere løntrin, skal dette afspejles i timeprisen.</t>
  </si>
  <si>
    <t>Medtages i Budgetark</t>
  </si>
  <si>
    <t>Indsæt enten årligt beløb eller beløb pr time</t>
  </si>
  <si>
    <t>https://www.kl.dk/okonomi-og-administration/okonomi-og-styring/kommunal-oekonomi-a-z/</t>
  </si>
  <si>
    <t>Tryghedspulje</t>
  </si>
  <si>
    <t>Uddannelsesløft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</si>
</sst>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kr.&quot;_-;\-* #,##0.00\ &quot;kr.&quot;_-;_-* &quot;-&quot;??\ &quot;kr.&quot;_-;_-@_-"/>
    <numFmt numFmtId="164" formatCode="_ &quot;kr.&quot;\ * #,##0.00_ ;_ &quot;kr.&quot;\ * \-#,##0.00_ ;_ &quot;kr.&quot;\ * &quot;-&quot;??_ ;_ @_ "/>
    <numFmt numFmtId="165" formatCode="_ * #,##0.00_ ;_ * \-#,##0.00_ ;_ * &quot;-&quot;??_ ;_ @_ "/>
    <numFmt numFmtId="166" formatCode="_(* #,##0.00_);_(* \(#,##0.00\);_(* &quot;-&quot;??_);_(@_)"/>
    <numFmt numFmtId="167" formatCode="_(* #,##0.0_);_(* \(#,##0.0\);_(* &quot;-&quot;??_);_(@_)"/>
    <numFmt numFmtId="168" formatCode="_(* #,##0_);_(* \(#,##0\);_(* &quot;-&quot;??_);_(@_)"/>
    <numFmt numFmtId="169" formatCode="0.0"/>
  </numFmts>
  <fonts count="44" x14ac:knownFonts="1">
    <font>
      <sz val="10"/>
      <name val="Times New Roman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vertAlign val="superscript"/>
      <sz val="9"/>
      <name val="Verdana"/>
      <family val="2"/>
    </font>
    <font>
      <sz val="8"/>
      <name val="Verdana"/>
      <family val="2"/>
    </font>
    <font>
      <b/>
      <u/>
      <sz val="8"/>
      <name val="Verdana"/>
      <family val="2"/>
    </font>
    <font>
      <b/>
      <sz val="16"/>
      <color indexed="10"/>
      <name val="Verdana"/>
      <family val="2"/>
    </font>
    <font>
      <sz val="10"/>
      <color indexed="10"/>
      <name val="Verdana"/>
      <family val="2"/>
    </font>
    <font>
      <b/>
      <sz val="12"/>
      <name val="Verdana"/>
      <family val="2"/>
    </font>
    <font>
      <b/>
      <u/>
      <sz val="10"/>
      <name val="Verdana"/>
      <family val="2"/>
    </font>
    <font>
      <sz val="10"/>
      <color theme="2"/>
      <name val="Verdana"/>
      <family val="2"/>
    </font>
    <font>
      <sz val="10"/>
      <color theme="0" tint="-0.14999847407452621"/>
      <name val="Verdana"/>
      <family val="2"/>
    </font>
    <font>
      <b/>
      <vertAlign val="superscript"/>
      <sz val="8"/>
      <name val="Verdana"/>
      <family val="2"/>
    </font>
    <font>
      <sz val="10"/>
      <color theme="1"/>
      <name val="Verdana"/>
      <family val="2"/>
    </font>
    <font>
      <i/>
      <sz val="10"/>
      <color theme="1"/>
      <name val="Verdana"/>
      <family val="2"/>
    </font>
    <font>
      <b/>
      <i/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name val="Times New Roman"/>
      <family val="1"/>
    </font>
    <font>
      <u/>
      <sz val="10"/>
      <color theme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Verdana"/>
      <family val="2"/>
    </font>
    <font>
      <sz val="7"/>
      <name val="Verdana"/>
      <family val="2"/>
    </font>
    <font>
      <sz val="7.5"/>
      <name val="Verdana"/>
      <family val="2"/>
    </font>
    <font>
      <b/>
      <sz val="12"/>
      <color indexed="10"/>
      <name val="Verdana"/>
      <family val="2"/>
    </font>
    <font>
      <b/>
      <sz val="14"/>
      <name val="Verdana"/>
      <family val="2"/>
    </font>
    <font>
      <b/>
      <sz val="14"/>
      <color theme="1"/>
      <name val="Verdana"/>
      <family val="2"/>
    </font>
    <font>
      <b/>
      <sz val="16"/>
      <name val="Verdana"/>
      <family val="2"/>
    </font>
    <font>
      <b/>
      <u/>
      <sz val="8"/>
      <color theme="1"/>
      <name val="Verdana"/>
      <family val="2"/>
    </font>
    <font>
      <b/>
      <sz val="8"/>
      <color theme="1"/>
      <name val="Verdana"/>
      <family val="2"/>
    </font>
    <font>
      <b/>
      <i/>
      <u/>
      <sz val="8"/>
      <color theme="1"/>
      <name val="Verdana"/>
      <family val="2"/>
    </font>
    <font>
      <b/>
      <i/>
      <sz val="8"/>
      <color theme="1"/>
      <name val="Verdana"/>
      <family val="2"/>
    </font>
    <font>
      <i/>
      <sz val="8"/>
      <color theme="1"/>
      <name val="Verdana"/>
      <family val="2"/>
    </font>
    <font>
      <u/>
      <sz val="8"/>
      <color theme="10"/>
      <name val="Verdana"/>
      <family val="2"/>
    </font>
    <font>
      <sz val="8"/>
      <color theme="1"/>
      <name val="Verdana"/>
      <family val="2"/>
    </font>
    <font>
      <b/>
      <sz val="11"/>
      <color rgb="FFFFFF00"/>
      <name val="Calibri"/>
      <family val="2"/>
      <scheme val="minor"/>
    </font>
    <font>
      <vertAlign val="superscript"/>
      <sz val="8"/>
      <name val="Verdana"/>
      <family val="2"/>
    </font>
    <font>
      <i/>
      <u/>
      <sz val="8"/>
      <color theme="10"/>
      <name val="Verdana"/>
      <family val="2"/>
    </font>
    <font>
      <sz val="8"/>
      <name val="Verdana"/>
      <family val="2"/>
    </font>
    <font>
      <sz val="8"/>
      <name val="Verdana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4" fontId="2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403">
    <xf numFmtId="0" fontId="0" fillId="0" borderId="0" xfId="0"/>
    <xf numFmtId="0" fontId="31" fillId="0" borderId="0" xfId="0" applyFont="1" applyProtection="1"/>
    <xf numFmtId="0" fontId="8" fillId="0" borderId="0" xfId="0" applyFont="1" applyProtection="1"/>
    <xf numFmtId="0" fontId="6" fillId="0" borderId="0" xfId="0" applyFont="1" applyProtection="1"/>
    <xf numFmtId="0" fontId="32" fillId="0" borderId="39" xfId="0" applyFont="1" applyBorder="1" applyProtection="1"/>
    <xf numFmtId="0" fontId="8" fillId="0" borderId="40" xfId="0" applyFont="1" applyBorder="1" applyProtection="1"/>
    <xf numFmtId="0" fontId="8" fillId="0" borderId="6" xfId="0" applyFont="1" applyBorder="1" applyProtection="1"/>
    <xf numFmtId="0" fontId="32" fillId="0" borderId="12" xfId="0" applyFont="1" applyBorder="1" applyProtection="1"/>
    <xf numFmtId="0" fontId="8" fillId="0" borderId="0" xfId="0" applyFont="1" applyBorder="1" applyProtection="1"/>
    <xf numFmtId="0" fontId="33" fillId="0" borderId="13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left"/>
    </xf>
    <xf numFmtId="164" fontId="8" fillId="0" borderId="0" xfId="5" applyFont="1" applyBorder="1" applyProtection="1"/>
    <xf numFmtId="0" fontId="8" fillId="0" borderId="13" xfId="0" applyFont="1" applyBorder="1" applyProtection="1"/>
    <xf numFmtId="0" fontId="6" fillId="0" borderId="0" xfId="0" applyFont="1" applyFill="1" applyBorder="1" applyProtection="1"/>
    <xf numFmtId="44" fontId="8" fillId="0" borderId="13" xfId="0" applyNumberFormat="1" applyFont="1" applyBorder="1" applyProtection="1"/>
    <xf numFmtId="0" fontId="8" fillId="0" borderId="20" xfId="0" applyFont="1" applyBorder="1" applyProtection="1"/>
    <xf numFmtId="164" fontId="8" fillId="0" borderId="20" xfId="5" applyFont="1" applyBorder="1" applyProtection="1"/>
    <xf numFmtId="44" fontId="8" fillId="0" borderId="19" xfId="0" applyNumberFormat="1" applyFont="1" applyBorder="1" applyProtection="1"/>
    <xf numFmtId="0" fontId="32" fillId="0" borderId="41" xfId="0" applyFont="1" applyBorder="1" applyProtection="1"/>
    <xf numFmtId="0" fontId="6" fillId="0" borderId="42" xfId="0" applyFont="1" applyFill="1" applyBorder="1" applyProtection="1"/>
    <xf numFmtId="0" fontId="6" fillId="0" borderId="42" xfId="0" applyFont="1" applyBorder="1" applyProtection="1"/>
    <xf numFmtId="164" fontId="6" fillId="0" borderId="42" xfId="5" applyFont="1" applyBorder="1" applyProtection="1"/>
    <xf numFmtId="44" fontId="6" fillId="0" borderId="43" xfId="0" applyNumberFormat="1" applyFont="1" applyBorder="1" applyProtection="1"/>
    <xf numFmtId="4" fontId="8" fillId="0" borderId="0" xfId="0" applyNumberFormat="1" applyFont="1" applyBorder="1" applyProtection="1"/>
    <xf numFmtId="164" fontId="8" fillId="0" borderId="0" xfId="5" applyFont="1" applyProtection="1"/>
    <xf numFmtId="0" fontId="34" fillId="0" borderId="0" xfId="0" applyFont="1" applyProtection="1"/>
    <xf numFmtId="0" fontId="8" fillId="0" borderId="0" xfId="0" applyFont="1" applyAlignment="1" applyProtection="1">
      <alignment horizontal="left" vertical="top" wrapText="1"/>
    </xf>
    <xf numFmtId="0" fontId="8" fillId="0" borderId="0" xfId="0" applyFont="1" applyAlignment="1" applyProtection="1">
      <alignment wrapText="1"/>
    </xf>
    <xf numFmtId="0" fontId="35" fillId="0" borderId="0" xfId="0" applyFont="1" applyProtection="1"/>
    <xf numFmtId="0" fontId="8" fillId="0" borderId="0" xfId="0" quotePrefix="1" applyFont="1" applyProtection="1"/>
    <xf numFmtId="0" fontId="33" fillId="0" borderId="0" xfId="0" applyFont="1" applyProtection="1"/>
    <xf numFmtId="0" fontId="33" fillId="0" borderId="24" xfId="0" applyFont="1" applyFill="1" applyBorder="1" applyAlignment="1" applyProtection="1">
      <alignment horizontal="center" wrapText="1"/>
    </xf>
    <xf numFmtId="0" fontId="33" fillId="0" borderId="49" xfId="0" applyFont="1" applyBorder="1" applyAlignment="1" applyProtection="1">
      <alignment horizontal="center" wrapText="1"/>
    </xf>
    <xf numFmtId="0" fontId="33" fillId="0" borderId="34" xfId="0" applyFont="1" applyBorder="1" applyAlignment="1" applyProtection="1">
      <alignment horizontal="center" wrapText="1"/>
    </xf>
    <xf numFmtId="2" fontId="8" fillId="9" borderId="50" xfId="0" applyNumberFormat="1" applyFont="1" applyFill="1" applyBorder="1" applyAlignment="1" applyProtection="1">
      <alignment horizontal="center" wrapText="1"/>
    </xf>
    <xf numFmtId="0" fontId="8" fillId="0" borderId="20" xfId="0" applyFont="1" applyBorder="1" applyAlignment="1" applyProtection="1">
      <alignment wrapText="1"/>
    </xf>
    <xf numFmtId="0" fontId="8" fillId="0" borderId="21" xfId="0" applyFont="1" applyBorder="1" applyAlignment="1" applyProtection="1">
      <alignment wrapText="1"/>
    </xf>
    <xf numFmtId="0" fontId="8" fillId="0" borderId="0" xfId="0" applyFont="1" applyFill="1" applyProtection="1"/>
    <xf numFmtId="0" fontId="33" fillId="0" borderId="51" xfId="0" applyFont="1" applyBorder="1" applyAlignment="1" applyProtection="1">
      <alignment wrapText="1"/>
    </xf>
    <xf numFmtId="0" fontId="33" fillId="0" borderId="20" xfId="0" applyFont="1" applyBorder="1" applyAlignment="1" applyProtection="1">
      <alignment wrapText="1"/>
    </xf>
    <xf numFmtId="0" fontId="33" fillId="0" borderId="20" xfId="0" applyFont="1" applyBorder="1" applyAlignment="1" applyProtection="1">
      <alignment horizontal="center" wrapText="1"/>
    </xf>
    <xf numFmtId="0" fontId="33" fillId="0" borderId="21" xfId="0" applyFont="1" applyBorder="1" applyAlignment="1" applyProtection="1">
      <alignment horizontal="center" wrapText="1"/>
    </xf>
    <xf numFmtId="0" fontId="33" fillId="0" borderId="19" xfId="0" applyFont="1" applyBorder="1" applyAlignment="1" applyProtection="1">
      <alignment horizontal="center" wrapText="1"/>
    </xf>
    <xf numFmtId="0" fontId="8" fillId="0" borderId="12" xfId="0" applyFont="1" applyBorder="1" applyProtection="1"/>
    <xf numFmtId="0" fontId="8" fillId="0" borderId="0" xfId="0" applyFont="1" applyBorder="1" applyAlignment="1" applyProtection="1">
      <alignment horizontal="center"/>
    </xf>
    <xf numFmtId="1" fontId="8" fillId="0" borderId="48" xfId="0" applyNumberFormat="1" applyFont="1" applyBorder="1" applyAlignment="1" applyProtection="1">
      <alignment horizontal="center"/>
    </xf>
    <xf numFmtId="1" fontId="8" fillId="0" borderId="13" xfId="0" applyNumberFormat="1" applyFont="1" applyBorder="1" applyAlignment="1" applyProtection="1">
      <alignment horizontal="center"/>
    </xf>
    <xf numFmtId="0" fontId="8" fillId="0" borderId="12" xfId="0" quotePrefix="1" applyFont="1" applyBorder="1" applyProtection="1"/>
    <xf numFmtId="0" fontId="8" fillId="0" borderId="51" xfId="0" quotePrefix="1" applyFont="1" applyBorder="1" applyProtection="1"/>
    <xf numFmtId="0" fontId="8" fillId="0" borderId="20" xfId="0" applyFont="1" applyBorder="1" applyAlignment="1" applyProtection="1"/>
    <xf numFmtId="0" fontId="8" fillId="0" borderId="20" xfId="0" applyFont="1" applyBorder="1" applyAlignment="1" applyProtection="1">
      <alignment horizontal="center"/>
    </xf>
    <xf numFmtId="0" fontId="8" fillId="0" borderId="21" xfId="0" applyFont="1" applyBorder="1" applyAlignment="1" applyProtection="1">
      <alignment horizontal="center"/>
    </xf>
    <xf numFmtId="0" fontId="8" fillId="0" borderId="19" xfId="0" applyFont="1" applyBorder="1" applyAlignment="1" applyProtection="1">
      <alignment horizontal="center"/>
    </xf>
    <xf numFmtId="0" fontId="8" fillId="0" borderId="41" xfId="0" applyFont="1" applyBorder="1" applyProtection="1"/>
    <xf numFmtId="0" fontId="8" fillId="0" borderId="42" xfId="0" applyFont="1" applyBorder="1" applyProtection="1"/>
    <xf numFmtId="0" fontId="8" fillId="0" borderId="43" xfId="0" applyFont="1" applyBorder="1" applyProtection="1"/>
    <xf numFmtId="0" fontId="8" fillId="0" borderId="17" xfId="0" applyFont="1" applyFill="1" applyBorder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164" fontId="8" fillId="0" borderId="8" xfId="5" applyFont="1" applyFill="1" applyBorder="1" applyAlignment="1" applyProtection="1">
      <alignment horizontal="center" wrapText="1"/>
    </xf>
    <xf numFmtId="1" fontId="8" fillId="0" borderId="17" xfId="1" applyNumberFormat="1" applyFont="1" applyFill="1" applyBorder="1" applyAlignment="1" applyProtection="1">
      <alignment horizontal="center"/>
    </xf>
    <xf numFmtId="164" fontId="8" fillId="0" borderId="8" xfId="5" applyNumberFormat="1" applyFont="1" applyFill="1" applyBorder="1" applyProtection="1"/>
    <xf numFmtId="164" fontId="8" fillId="0" borderId="8" xfId="5" applyFont="1" applyFill="1" applyBorder="1" applyProtection="1"/>
    <xf numFmtId="0" fontId="33" fillId="8" borderId="0" xfId="0" applyFont="1" applyFill="1" applyBorder="1" applyProtection="1">
      <protection locked="0"/>
    </xf>
    <xf numFmtId="10" fontId="8" fillId="8" borderId="0" xfId="0" applyNumberFormat="1" applyFont="1" applyFill="1" applyBorder="1" applyProtection="1">
      <protection locked="0"/>
    </xf>
    <xf numFmtId="0" fontId="12" fillId="0" borderId="20" xfId="0" applyFont="1" applyBorder="1" applyProtection="1"/>
    <xf numFmtId="0" fontId="6" fillId="0" borderId="23" xfId="0" applyFont="1" applyBorder="1" applyProtection="1"/>
    <xf numFmtId="0" fontId="8" fillId="3" borderId="6" xfId="0" applyFont="1" applyFill="1" applyBorder="1" applyProtection="1"/>
    <xf numFmtId="0" fontId="8" fillId="2" borderId="9" xfId="0" applyFont="1" applyFill="1" applyBorder="1" applyAlignment="1" applyProtection="1">
      <alignment wrapText="1"/>
    </xf>
    <xf numFmtId="10" fontId="8" fillId="0" borderId="10" xfId="1" applyNumberFormat="1" applyFont="1" applyBorder="1" applyProtection="1"/>
    <xf numFmtId="0" fontId="8" fillId="2" borderId="14" xfId="0" applyFont="1" applyFill="1" applyBorder="1" applyAlignment="1" applyProtection="1">
      <alignment wrapText="1"/>
    </xf>
    <xf numFmtId="10" fontId="8" fillId="0" borderId="15" xfId="0" applyNumberFormat="1" applyFont="1" applyBorder="1" applyProtection="1"/>
    <xf numFmtId="0" fontId="6" fillId="0" borderId="45" xfId="0" applyFont="1" applyBorder="1" applyAlignment="1" applyProtection="1"/>
    <xf numFmtId="0" fontId="8" fillId="3" borderId="25" xfId="0" applyFont="1" applyFill="1" applyBorder="1" applyProtection="1"/>
    <xf numFmtId="14" fontId="8" fillId="3" borderId="30" xfId="0" applyNumberFormat="1" applyFont="1" applyFill="1" applyBorder="1" applyProtection="1"/>
    <xf numFmtId="4" fontId="8" fillId="0" borderId="31" xfId="0" applyNumberFormat="1" applyFont="1" applyBorder="1" applyProtection="1"/>
    <xf numFmtId="165" fontId="8" fillId="0" borderId="0" xfId="0" applyNumberFormat="1" applyFont="1" applyProtection="1"/>
    <xf numFmtId="0" fontId="6" fillId="0" borderId="0" xfId="0" applyFont="1" applyFill="1" applyBorder="1" applyAlignment="1" applyProtection="1">
      <alignment wrapText="1"/>
    </xf>
    <xf numFmtId="2" fontId="6" fillId="0" borderId="0" xfId="0" applyNumberFormat="1" applyFont="1" applyBorder="1" applyAlignment="1" applyProtection="1">
      <alignment horizontal="center"/>
    </xf>
    <xf numFmtId="14" fontId="8" fillId="3" borderId="47" xfId="0" applyNumberFormat="1" applyFont="1" applyFill="1" applyBorder="1" applyProtection="1"/>
    <xf numFmtId="10" fontId="8" fillId="0" borderId="31" xfId="0" applyNumberFormat="1" applyFont="1" applyBorder="1" applyProtection="1"/>
    <xf numFmtId="14" fontId="8" fillId="0" borderId="0" xfId="0" applyNumberFormat="1" applyFont="1" applyFill="1" applyBorder="1" applyProtection="1"/>
    <xf numFmtId="0" fontId="8" fillId="0" borderId="0" xfId="0" applyFont="1" applyFill="1" applyBorder="1" applyAlignment="1" applyProtection="1">
      <alignment horizontal="left"/>
    </xf>
    <xf numFmtId="10" fontId="8" fillId="0" borderId="0" xfId="0" applyNumberFormat="1" applyFont="1" applyBorder="1" applyProtection="1"/>
    <xf numFmtId="0" fontId="8" fillId="3" borderId="26" xfId="0" applyFont="1" applyFill="1" applyBorder="1" applyProtection="1"/>
    <xf numFmtId="0" fontId="8" fillId="3" borderId="27" xfId="0" applyFont="1" applyFill="1" applyBorder="1" applyProtection="1"/>
    <xf numFmtId="0" fontId="8" fillId="3" borderId="2" xfId="0" applyFont="1" applyFill="1" applyBorder="1" applyProtection="1"/>
    <xf numFmtId="166" fontId="8" fillId="0" borderId="1" xfId="1" applyFont="1" applyBorder="1" applyProtection="1"/>
    <xf numFmtId="168" fontId="8" fillId="0" borderId="10" xfId="1" applyNumberFormat="1" applyFont="1" applyBorder="1" applyProtection="1"/>
    <xf numFmtId="0" fontId="8" fillId="3" borderId="7" xfId="0" applyFont="1" applyFill="1" applyBorder="1" applyProtection="1"/>
    <xf numFmtId="166" fontId="8" fillId="0" borderId="10" xfId="1" applyFont="1" applyBorder="1" applyProtection="1"/>
    <xf numFmtId="0" fontId="8" fillId="3" borderId="35" xfId="0" applyFont="1" applyFill="1" applyBorder="1" applyProtection="1"/>
    <xf numFmtId="166" fontId="8" fillId="0" borderId="28" xfId="1" applyFont="1" applyBorder="1" applyProtection="1"/>
    <xf numFmtId="166" fontId="8" fillId="0" borderId="29" xfId="1" applyFont="1" applyBorder="1" applyProtection="1"/>
    <xf numFmtId="166" fontId="8" fillId="0" borderId="34" xfId="1" applyFont="1" applyBorder="1" applyProtection="1"/>
    <xf numFmtId="166" fontId="8" fillId="0" borderId="18" xfId="1" applyFont="1" applyBorder="1" applyProtection="1"/>
    <xf numFmtId="0" fontId="8" fillId="3" borderId="37" xfId="0" applyFont="1" applyFill="1" applyBorder="1" applyProtection="1"/>
    <xf numFmtId="10" fontId="8" fillId="0" borderId="32" xfId="0" applyNumberFormat="1" applyFont="1" applyBorder="1" applyProtection="1"/>
    <xf numFmtId="10" fontId="8" fillId="0" borderId="33" xfId="0" applyNumberFormat="1" applyFont="1" applyBorder="1" applyProtection="1"/>
    <xf numFmtId="0" fontId="27" fillId="0" borderId="0" xfId="0" applyFont="1" applyProtection="1"/>
    <xf numFmtId="4" fontId="8" fillId="0" borderId="15" xfId="0" applyNumberFormat="1" applyFont="1" applyBorder="1" applyProtection="1"/>
    <xf numFmtId="0" fontId="8" fillId="3" borderId="6" xfId="0" applyFont="1" applyFill="1" applyBorder="1" applyAlignment="1" applyProtection="1">
      <alignment wrapText="1"/>
    </xf>
    <xf numFmtId="0" fontId="8" fillId="2" borderId="2" xfId="0" applyFont="1" applyFill="1" applyBorder="1" applyProtection="1"/>
    <xf numFmtId="0" fontId="8" fillId="2" borderId="7" xfId="0" applyFont="1" applyFill="1" applyBorder="1" applyProtection="1"/>
    <xf numFmtId="0" fontId="8" fillId="2" borderId="37" xfId="0" applyFont="1" applyFill="1" applyBorder="1" applyProtection="1"/>
    <xf numFmtId="4" fontId="38" fillId="8" borderId="10" xfId="0" applyNumberFormat="1" applyFont="1" applyFill="1" applyBorder="1" applyProtection="1">
      <protection locked="0"/>
    </xf>
    <xf numFmtId="0" fontId="29" fillId="0" borderId="0" xfId="0" applyFont="1" applyProtection="1"/>
    <xf numFmtId="0" fontId="11" fillId="0" borderId="0" xfId="0" applyFont="1" applyProtection="1"/>
    <xf numFmtId="0" fontId="4" fillId="0" borderId="0" xfId="0" applyFont="1" applyProtection="1"/>
    <xf numFmtId="0" fontId="28" fillId="0" borderId="0" xfId="0" applyFont="1" applyProtection="1"/>
    <xf numFmtId="0" fontId="12" fillId="0" borderId="0" xfId="0" applyFont="1" applyProtection="1"/>
    <xf numFmtId="0" fontId="5" fillId="0" borderId="0" xfId="0" applyFont="1" applyFill="1" applyProtection="1"/>
    <xf numFmtId="0" fontId="12" fillId="0" borderId="0" xfId="0" applyFont="1" applyFill="1" applyProtection="1"/>
    <xf numFmtId="0" fontId="4" fillId="0" borderId="0" xfId="0" applyFont="1" applyFill="1" applyProtection="1"/>
    <xf numFmtId="0" fontId="4" fillId="0" borderId="0" xfId="0" applyFont="1" applyFill="1" applyBorder="1" applyProtection="1"/>
    <xf numFmtId="0" fontId="5" fillId="0" borderId="0" xfId="0" applyFont="1" applyFill="1" applyBorder="1" applyProtection="1"/>
    <xf numFmtId="3" fontId="4" fillId="0" borderId="0" xfId="1" applyNumberFormat="1" applyFont="1" applyFill="1" applyBorder="1" applyAlignment="1" applyProtection="1">
      <alignment horizontal="center"/>
    </xf>
    <xf numFmtId="0" fontId="12" fillId="0" borderId="0" xfId="0" applyFont="1" applyFill="1" applyBorder="1" applyProtection="1"/>
    <xf numFmtId="0" fontId="6" fillId="0" borderId="0" xfId="0" applyFont="1" applyBorder="1" applyProtection="1"/>
    <xf numFmtId="14" fontId="14" fillId="0" borderId="0" xfId="0" applyNumberFormat="1" applyFont="1" applyProtection="1"/>
    <xf numFmtId="0" fontId="8" fillId="2" borderId="1" xfId="0" applyFont="1" applyFill="1" applyBorder="1" applyAlignment="1" applyProtection="1">
      <alignment horizontal="center" wrapText="1"/>
    </xf>
    <xf numFmtId="0" fontId="8" fillId="2" borderId="1" xfId="0" applyFont="1" applyFill="1" applyBorder="1" applyAlignment="1" applyProtection="1">
      <alignment wrapText="1"/>
    </xf>
    <xf numFmtId="0" fontId="8" fillId="2" borderId="1" xfId="0" applyFont="1" applyFill="1" applyBorder="1" applyProtection="1"/>
    <xf numFmtId="166" fontId="8" fillId="2" borderId="1" xfId="1" applyFont="1" applyFill="1" applyBorder="1" applyProtection="1"/>
    <xf numFmtId="166" fontId="8" fillId="0" borderId="0" xfId="1" applyFont="1" applyFill="1" applyBorder="1" applyProtection="1"/>
    <xf numFmtId="2" fontId="4" fillId="0" borderId="0" xfId="0" applyNumberFormat="1" applyFont="1" applyProtection="1"/>
    <xf numFmtId="0" fontId="6" fillId="0" borderId="2" xfId="0" applyFont="1" applyBorder="1" applyAlignment="1" applyProtection="1">
      <alignment wrapText="1"/>
    </xf>
    <xf numFmtId="0" fontId="6" fillId="0" borderId="3" xfId="0" applyFont="1" applyBorder="1" applyAlignment="1" applyProtection="1">
      <alignment wrapText="1"/>
    </xf>
    <xf numFmtId="0" fontId="6" fillId="0" borderId="4" xfId="0" applyFont="1" applyBorder="1" applyAlignment="1" applyProtection="1">
      <alignment wrapText="1"/>
    </xf>
    <xf numFmtId="0" fontId="6" fillId="0" borderId="5" xfId="0" applyFont="1" applyBorder="1" applyAlignment="1" applyProtection="1">
      <alignment wrapText="1"/>
    </xf>
    <xf numFmtId="0" fontId="6" fillId="0" borderId="6" xfId="0" applyFont="1" applyBorder="1" applyAlignment="1" applyProtection="1">
      <alignment wrapText="1"/>
    </xf>
    <xf numFmtId="166" fontId="8" fillId="2" borderId="8" xfId="1" applyFont="1" applyFill="1" applyBorder="1" applyProtection="1"/>
    <xf numFmtId="166" fontId="8" fillId="2" borderId="9" xfId="1" applyFont="1" applyFill="1" applyBorder="1" applyProtection="1"/>
    <xf numFmtId="166" fontId="8" fillId="2" borderId="10" xfId="1" applyFont="1" applyFill="1" applyBorder="1" applyProtection="1"/>
    <xf numFmtId="166" fontId="8" fillId="0" borderId="11" xfId="0" applyNumberFormat="1" applyFont="1" applyBorder="1" applyProtection="1"/>
    <xf numFmtId="166" fontId="4" fillId="0" borderId="1" xfId="1" applyFont="1" applyBorder="1" applyProtection="1"/>
    <xf numFmtId="166" fontId="4" fillId="0" borderId="10" xfId="1" applyFont="1" applyBorder="1" applyProtection="1"/>
    <xf numFmtId="17" fontId="8" fillId="2" borderId="1" xfId="0" applyNumberFormat="1" applyFont="1" applyFill="1" applyBorder="1" applyProtection="1"/>
    <xf numFmtId="165" fontId="4" fillId="0" borderId="0" xfId="0" applyNumberFormat="1" applyFont="1" applyProtection="1"/>
    <xf numFmtId="166" fontId="8" fillId="0" borderId="0" xfId="1" applyFont="1" applyBorder="1" applyProtection="1"/>
    <xf numFmtId="166" fontId="8" fillId="0" borderId="12" xfId="1" applyFont="1" applyBorder="1" applyProtection="1"/>
    <xf numFmtId="166" fontId="8" fillId="0" borderId="13" xfId="1" applyFont="1" applyBorder="1" applyProtection="1"/>
    <xf numFmtId="166" fontId="4" fillId="0" borderId="0" xfId="0" applyNumberFormat="1" applyFont="1" applyProtection="1"/>
    <xf numFmtId="49" fontId="4" fillId="0" borderId="0" xfId="0" applyNumberFormat="1" applyFont="1" applyProtection="1"/>
    <xf numFmtId="166" fontId="8" fillId="2" borderId="14" xfId="1" applyFont="1" applyFill="1" applyBorder="1" applyProtection="1"/>
    <xf numFmtId="166" fontId="8" fillId="2" borderId="15" xfId="1" applyFont="1" applyFill="1" applyBorder="1" applyProtection="1"/>
    <xf numFmtId="0" fontId="6" fillId="0" borderId="9" xfId="0" applyFont="1" applyBorder="1" applyProtection="1"/>
    <xf numFmtId="0" fontId="8" fillId="0" borderId="16" xfId="0" applyFont="1" applyBorder="1" applyProtection="1"/>
    <xf numFmtId="166" fontId="8" fillId="0" borderId="17" xfId="1" applyFont="1" applyBorder="1" applyProtection="1"/>
    <xf numFmtId="166" fontId="8" fillId="0" borderId="0" xfId="3" applyFont="1" applyBorder="1" applyProtection="1"/>
    <xf numFmtId="166" fontId="4" fillId="0" borderId="0" xfId="0" applyNumberFormat="1" applyFont="1" applyBorder="1" applyProtection="1"/>
    <xf numFmtId="0" fontId="4" fillId="0" borderId="0" xfId="0" applyFont="1" applyBorder="1" applyProtection="1"/>
    <xf numFmtId="0" fontId="6" fillId="0" borderId="12" xfId="0" applyFont="1" applyBorder="1" applyProtection="1"/>
    <xf numFmtId="0" fontId="6" fillId="2" borderId="9" xfId="0" applyFont="1" applyFill="1" applyBorder="1" applyProtection="1"/>
    <xf numFmtId="0" fontId="8" fillId="2" borderId="16" xfId="0" applyFont="1" applyFill="1" applyBorder="1" applyProtection="1"/>
    <xf numFmtId="166" fontId="8" fillId="2" borderId="17" xfId="1" applyFont="1" applyFill="1" applyBorder="1" applyProtection="1"/>
    <xf numFmtId="167" fontId="8" fillId="2" borderId="1" xfId="1" applyNumberFormat="1" applyFont="1" applyFill="1" applyBorder="1" applyProtection="1"/>
    <xf numFmtId="9" fontId="8" fillId="0" borderId="0" xfId="1" applyNumberFormat="1" applyFont="1" applyFill="1" applyBorder="1" applyProtection="1"/>
    <xf numFmtId="166" fontId="8" fillId="0" borderId="8" xfId="1" applyFont="1" applyBorder="1" applyProtection="1"/>
    <xf numFmtId="3" fontId="8" fillId="0" borderId="0" xfId="1" applyNumberFormat="1" applyFont="1" applyFill="1" applyBorder="1" applyProtection="1"/>
    <xf numFmtId="0" fontId="8" fillId="0" borderId="12" xfId="0" applyFont="1" applyFill="1" applyBorder="1" applyProtection="1"/>
    <xf numFmtId="0" fontId="8" fillId="0" borderId="0" xfId="0" applyFont="1" applyFill="1" applyBorder="1" applyProtection="1"/>
    <xf numFmtId="167" fontId="8" fillId="0" borderId="0" xfId="1" applyNumberFormat="1" applyFont="1" applyFill="1" applyBorder="1" applyProtection="1"/>
    <xf numFmtId="166" fontId="8" fillId="0" borderId="13" xfId="1" applyFont="1" applyFill="1" applyBorder="1" applyProtection="1"/>
    <xf numFmtId="166" fontId="8" fillId="0" borderId="10" xfId="1" applyFont="1" applyFill="1" applyBorder="1" applyProtection="1"/>
    <xf numFmtId="10" fontId="8" fillId="0" borderId="0" xfId="1" applyNumberFormat="1" applyFont="1" applyFill="1" applyBorder="1" applyProtection="1"/>
    <xf numFmtId="166" fontId="8" fillId="2" borderId="1" xfId="1" applyNumberFormat="1" applyFont="1" applyFill="1" applyBorder="1" applyProtection="1"/>
    <xf numFmtId="10" fontId="8" fillId="2" borderId="1" xfId="1" applyNumberFormat="1" applyFont="1" applyFill="1" applyBorder="1" applyProtection="1"/>
    <xf numFmtId="166" fontId="8" fillId="0" borderId="18" xfId="1" applyFont="1" applyFill="1" applyBorder="1" applyProtection="1"/>
    <xf numFmtId="168" fontId="8" fillId="0" borderId="1" xfId="1" applyNumberFormat="1" applyFont="1" applyBorder="1" applyProtection="1"/>
    <xf numFmtId="165" fontId="4" fillId="0" borderId="0" xfId="0" applyNumberFormat="1" applyFont="1" applyFill="1" applyBorder="1" applyProtection="1"/>
    <xf numFmtId="0" fontId="4" fillId="0" borderId="0" xfId="0" applyFont="1" applyFill="1" applyAlignment="1" applyProtection="1">
      <alignment wrapText="1"/>
    </xf>
    <xf numFmtId="168" fontId="8" fillId="0" borderId="1" xfId="1" applyNumberFormat="1" applyFont="1" applyFill="1" applyBorder="1" applyProtection="1"/>
    <xf numFmtId="165" fontId="4" fillId="0" borderId="0" xfId="0" applyNumberFormat="1" applyFont="1" applyFill="1" applyProtection="1"/>
    <xf numFmtId="0" fontId="13" fillId="0" borderId="0" xfId="0" applyFont="1" applyFill="1" applyProtection="1"/>
    <xf numFmtId="0" fontId="6" fillId="0" borderId="8" xfId="0" applyFont="1" applyFill="1" applyBorder="1" applyProtection="1"/>
    <xf numFmtId="0" fontId="8" fillId="0" borderId="16" xfId="0" applyFont="1" applyFill="1" applyBorder="1" applyProtection="1"/>
    <xf numFmtId="166" fontId="8" fillId="0" borderId="16" xfId="1" applyFont="1" applyFill="1" applyBorder="1" applyProtection="1"/>
    <xf numFmtId="0" fontId="8" fillId="0" borderId="19" xfId="0" applyFont="1" applyBorder="1" applyProtection="1"/>
    <xf numFmtId="0" fontId="8" fillId="2" borderId="20" xfId="0" applyFont="1" applyFill="1" applyBorder="1" applyProtection="1"/>
    <xf numFmtId="166" fontId="8" fillId="2" borderId="21" xfId="1" applyFont="1" applyFill="1" applyBorder="1" applyProtection="1"/>
    <xf numFmtId="166" fontId="8" fillId="4" borderId="1" xfId="1" applyFont="1" applyFill="1" applyBorder="1" applyProtection="1"/>
    <xf numFmtId="166" fontId="8" fillId="4" borderId="1" xfId="1" applyNumberFormat="1" applyFont="1" applyFill="1" applyBorder="1" applyProtection="1"/>
    <xf numFmtId="4" fontId="8" fillId="4" borderId="1" xfId="1" applyNumberFormat="1" applyFont="1" applyFill="1" applyBorder="1" applyProtection="1"/>
    <xf numFmtId="14" fontId="4" fillId="0" borderId="0" xfId="0" applyNumberFormat="1" applyFont="1" applyProtection="1"/>
    <xf numFmtId="0" fontId="6" fillId="0" borderId="12" xfId="0" applyFont="1" applyFill="1" applyBorder="1" applyProtection="1"/>
    <xf numFmtId="166" fontId="8" fillId="0" borderId="0" xfId="1" applyNumberFormat="1" applyFont="1" applyFill="1" applyBorder="1" applyProtection="1"/>
    <xf numFmtId="4" fontId="8" fillId="0" borderId="0" xfId="1" applyNumberFormat="1" applyFont="1" applyFill="1" applyBorder="1" applyProtection="1"/>
    <xf numFmtId="0" fontId="6" fillId="2" borderId="8" xfId="0" applyFont="1" applyFill="1" applyBorder="1" applyProtection="1"/>
    <xf numFmtId="167" fontId="8" fillId="0" borderId="0" xfId="1" applyNumberFormat="1" applyFont="1" applyFill="1" applyBorder="1" applyAlignment="1" applyProtection="1">
      <alignment wrapText="1"/>
    </xf>
    <xf numFmtId="166" fontId="8" fillId="0" borderId="0" xfId="1" applyFont="1" applyFill="1" applyBorder="1" applyAlignment="1" applyProtection="1">
      <alignment wrapText="1"/>
    </xf>
    <xf numFmtId="0" fontId="6" fillId="2" borderId="16" xfId="0" applyFont="1" applyFill="1" applyBorder="1" applyProtection="1"/>
    <xf numFmtId="166" fontId="6" fillId="2" borderId="17" xfId="1" applyFont="1" applyFill="1" applyBorder="1" applyProtection="1"/>
    <xf numFmtId="166" fontId="4" fillId="0" borderId="0" xfId="1" applyFont="1" applyBorder="1" applyProtection="1"/>
    <xf numFmtId="166" fontId="4" fillId="0" borderId="17" xfId="1" applyFont="1" applyBorder="1" applyProtection="1"/>
    <xf numFmtId="4" fontId="8" fillId="2" borderId="1" xfId="1" applyNumberFormat="1" applyFont="1" applyFill="1" applyBorder="1" applyProtection="1"/>
    <xf numFmtId="0" fontId="6" fillId="0" borderId="14" xfId="0" applyFont="1" applyBorder="1" applyProtection="1"/>
    <xf numFmtId="0" fontId="8" fillId="0" borderId="22" xfId="0" applyFont="1" applyBorder="1" applyProtection="1"/>
    <xf numFmtId="166" fontId="6" fillId="0" borderId="23" xfId="1" applyFont="1" applyBorder="1" applyProtection="1"/>
    <xf numFmtId="168" fontId="6" fillId="0" borderId="0" xfId="1" applyNumberFormat="1" applyFont="1" applyBorder="1" applyProtection="1"/>
    <xf numFmtId="0" fontId="8" fillId="5" borderId="0" xfId="0" applyFont="1" applyFill="1" applyBorder="1" applyProtection="1"/>
    <xf numFmtId="168" fontId="6" fillId="5" borderId="0" xfId="1" applyNumberFormat="1" applyFont="1" applyFill="1" applyBorder="1" applyProtection="1"/>
    <xf numFmtId="168" fontId="6" fillId="0" borderId="0" xfId="1" applyNumberFormat="1" applyFont="1" applyFill="1" applyBorder="1" applyProtection="1"/>
    <xf numFmtId="166" fontId="6" fillId="0" borderId="0" xfId="1" applyNumberFormat="1" applyFont="1" applyFill="1" applyBorder="1" applyProtection="1"/>
    <xf numFmtId="0" fontId="4" fillId="5" borderId="0" xfId="0" applyFont="1" applyFill="1" applyProtection="1"/>
    <xf numFmtId="166" fontId="4" fillId="5" borderId="0" xfId="0" applyNumberFormat="1" applyFont="1" applyFill="1" applyProtection="1"/>
    <xf numFmtId="166" fontId="6" fillId="0" borderId="0" xfId="0" applyNumberFormat="1" applyFont="1" applyFill="1" applyBorder="1" applyProtection="1"/>
    <xf numFmtId="10" fontId="8" fillId="0" borderId="1" xfId="0" applyNumberFormat="1" applyFont="1" applyFill="1" applyBorder="1" applyProtection="1"/>
    <xf numFmtId="166" fontId="6" fillId="5" borderId="0" xfId="0" applyNumberFormat="1" applyFont="1" applyFill="1" applyBorder="1" applyProtection="1"/>
    <xf numFmtId="168" fontId="6" fillId="0" borderId="0" xfId="0" applyNumberFormat="1" applyFont="1" applyFill="1" applyBorder="1" applyProtection="1"/>
    <xf numFmtId="166" fontId="6" fillId="2" borderId="1" xfId="1" applyNumberFormat="1" applyFont="1" applyFill="1" applyBorder="1" applyProtection="1"/>
    <xf numFmtId="37" fontId="6" fillId="0" borderId="0" xfId="0" applyNumberFormat="1" applyFont="1" applyFill="1" applyBorder="1" applyProtection="1"/>
    <xf numFmtId="0" fontId="6" fillId="5" borderId="0" xfId="0" applyFont="1" applyFill="1" applyBorder="1" applyProtection="1"/>
    <xf numFmtId="37" fontId="6" fillId="5" borderId="0" xfId="0" applyNumberFormat="1" applyFont="1" applyFill="1" applyBorder="1" applyProtection="1"/>
    <xf numFmtId="0" fontId="5" fillId="0" borderId="0" xfId="0" applyFont="1" applyProtection="1"/>
    <xf numFmtId="166" fontId="8" fillId="0" borderId="1" xfId="1" applyFont="1" applyFill="1" applyBorder="1" applyProtection="1"/>
    <xf numFmtId="0" fontId="6" fillId="0" borderId="49" xfId="0" applyFont="1" applyFill="1" applyBorder="1" applyProtection="1"/>
    <xf numFmtId="166" fontId="6" fillId="0" borderId="49" xfId="1" applyFont="1" applyFill="1" applyBorder="1" applyProtection="1"/>
    <xf numFmtId="166" fontId="8" fillId="0" borderId="49" xfId="1" applyFont="1" applyFill="1" applyBorder="1" applyProtection="1"/>
    <xf numFmtId="166" fontId="8" fillId="0" borderId="49" xfId="1" applyNumberFormat="1" applyFont="1" applyFill="1" applyBorder="1" applyProtection="1"/>
    <xf numFmtId="4" fontId="8" fillId="0" borderId="49" xfId="1" applyNumberFormat="1" applyFont="1" applyFill="1" applyBorder="1" applyProtection="1"/>
    <xf numFmtId="166" fontId="8" fillId="0" borderId="49" xfId="1" applyFont="1" applyBorder="1" applyProtection="1"/>
    <xf numFmtId="166" fontId="4" fillId="0" borderId="49" xfId="1" applyFont="1" applyBorder="1" applyProtection="1"/>
    <xf numFmtId="0" fontId="9" fillId="0" borderId="0" xfId="0" applyFont="1" applyProtection="1"/>
    <xf numFmtId="166" fontId="4" fillId="0" borderId="0" xfId="1" applyFont="1" applyProtection="1"/>
    <xf numFmtId="166" fontId="8" fillId="0" borderId="0" xfId="0" applyNumberFormat="1" applyFont="1" applyProtection="1"/>
    <xf numFmtId="166" fontId="4" fillId="0" borderId="0" xfId="1" applyFont="1" applyFill="1" applyProtection="1"/>
    <xf numFmtId="0" fontId="4" fillId="8" borderId="8" xfId="0" applyFont="1" applyFill="1" applyBorder="1" applyProtection="1">
      <protection locked="0"/>
    </xf>
    <xf numFmtId="0" fontId="4" fillId="8" borderId="17" xfId="0" applyFont="1" applyFill="1" applyBorder="1" applyProtection="1">
      <protection locked="0"/>
    </xf>
    <xf numFmtId="0" fontId="4" fillId="8" borderId="16" xfId="0" applyFont="1" applyFill="1" applyBorder="1" applyProtection="1">
      <protection locked="0"/>
    </xf>
    <xf numFmtId="166" fontId="8" fillId="8" borderId="1" xfId="1" applyFont="1" applyFill="1" applyBorder="1" applyProtection="1">
      <protection locked="0"/>
    </xf>
    <xf numFmtId="167" fontId="8" fillId="8" borderId="1" xfId="1" applyNumberFormat="1" applyFont="1" applyFill="1" applyBorder="1" applyProtection="1">
      <protection locked="0"/>
    </xf>
    <xf numFmtId="166" fontId="8" fillId="8" borderId="1" xfId="1" applyNumberFormat="1" applyFont="1" applyFill="1" applyBorder="1" applyProtection="1">
      <protection locked="0"/>
    </xf>
    <xf numFmtId="166" fontId="8" fillId="8" borderId="17" xfId="1" applyFont="1" applyFill="1" applyBorder="1" applyProtection="1">
      <protection locked="0"/>
    </xf>
    <xf numFmtId="4" fontId="8" fillId="8" borderId="1" xfId="1" applyNumberFormat="1" applyFont="1" applyFill="1" applyBorder="1" applyProtection="1">
      <protection locked="0"/>
    </xf>
    <xf numFmtId="10" fontId="8" fillId="8" borderId="1" xfId="1" applyNumberFormat="1" applyFont="1" applyFill="1" applyBorder="1" applyProtection="1">
      <protection locked="0"/>
    </xf>
    <xf numFmtId="0" fontId="30" fillId="0" borderId="0" xfId="0" applyFont="1" applyProtection="1"/>
    <xf numFmtId="0" fontId="10" fillId="0" borderId="0" xfId="0" applyFont="1" applyProtection="1"/>
    <xf numFmtId="0" fontId="8" fillId="3" borderId="1" xfId="0" applyFont="1" applyFill="1" applyBorder="1" applyProtection="1"/>
    <xf numFmtId="14" fontId="15" fillId="0" borderId="0" xfId="0" applyNumberFormat="1" applyFont="1" applyProtection="1"/>
    <xf numFmtId="0" fontId="4" fillId="0" borderId="0" xfId="0" applyFont="1" applyBorder="1" applyAlignment="1" applyProtection="1">
      <alignment wrapText="1"/>
    </xf>
    <xf numFmtId="2" fontId="8" fillId="4" borderId="1" xfId="1" applyNumberFormat="1" applyFont="1" applyFill="1" applyBorder="1" applyProtection="1"/>
    <xf numFmtId="166" fontId="6" fillId="0" borderId="1" xfId="1" applyFont="1" applyBorder="1" applyProtection="1"/>
    <xf numFmtId="166" fontId="8" fillId="2" borderId="17" xfId="1" applyNumberFormat="1" applyFont="1" applyFill="1" applyBorder="1" applyProtection="1"/>
    <xf numFmtId="166" fontId="6" fillId="0" borderId="0" xfId="1" applyFont="1" applyFill="1" applyBorder="1" applyProtection="1"/>
    <xf numFmtId="2" fontId="8" fillId="2" borderId="1" xfId="0" applyNumberFormat="1" applyFont="1" applyFill="1" applyBorder="1" applyProtection="1"/>
    <xf numFmtId="2" fontId="4" fillId="2" borderId="1" xfId="0" applyNumberFormat="1" applyFont="1" applyFill="1" applyBorder="1" applyProtection="1"/>
    <xf numFmtId="166" fontId="6" fillId="0" borderId="0" xfId="1" applyFont="1" applyBorder="1" applyProtection="1"/>
    <xf numFmtId="166" fontId="8" fillId="8" borderId="17" xfId="1" applyFont="1" applyFill="1" applyBorder="1" applyAlignment="1" applyProtection="1">
      <alignment wrapText="1"/>
      <protection locked="0"/>
    </xf>
    <xf numFmtId="0" fontId="0" fillId="0" borderId="0" xfId="0" applyProtection="1"/>
    <xf numFmtId="0" fontId="0" fillId="0" borderId="0" xfId="0" applyAlignment="1" applyProtection="1">
      <alignment wrapText="1"/>
    </xf>
    <xf numFmtId="0" fontId="4" fillId="0" borderId="0" xfId="0" applyFont="1" applyAlignment="1" applyProtection="1">
      <alignment wrapText="1"/>
    </xf>
    <xf numFmtId="3" fontId="4" fillId="3" borderId="1" xfId="0" applyNumberFormat="1" applyFont="1" applyFill="1" applyBorder="1" applyAlignment="1" applyProtection="1">
      <alignment horizontal="center" wrapText="1"/>
    </xf>
    <xf numFmtId="14" fontId="0" fillId="0" borderId="0" xfId="0" applyNumberFormat="1" applyProtection="1"/>
    <xf numFmtId="0" fontId="5" fillId="0" borderId="0" xfId="0" applyFont="1" applyFill="1" applyBorder="1" applyAlignment="1" applyProtection="1">
      <alignment horizontal="center"/>
    </xf>
    <xf numFmtId="0" fontId="20" fillId="6" borderId="28" xfId="0" applyFont="1" applyFill="1" applyBorder="1" applyAlignment="1" applyProtection="1">
      <alignment horizontal="center"/>
    </xf>
    <xf numFmtId="0" fontId="17" fillId="6" borderId="28" xfId="0" applyFont="1" applyFill="1" applyBorder="1" applyAlignment="1" applyProtection="1">
      <alignment wrapText="1"/>
    </xf>
    <xf numFmtId="0" fontId="17" fillId="6" borderId="8" xfId="0" applyFont="1" applyFill="1" applyBorder="1" applyProtection="1"/>
    <xf numFmtId="4" fontId="17" fillId="0" borderId="1" xfId="0" applyNumberFormat="1" applyFont="1" applyBorder="1" applyProtection="1"/>
    <xf numFmtId="0" fontId="17" fillId="0" borderId="1" xfId="0" applyFont="1" applyBorder="1" applyAlignment="1" applyProtection="1">
      <alignment wrapText="1"/>
    </xf>
    <xf numFmtId="0" fontId="17" fillId="0" borderId="0" xfId="0" applyFont="1" applyAlignment="1" applyProtection="1">
      <alignment wrapText="1"/>
    </xf>
    <xf numFmtId="0" fontId="17" fillId="6" borderId="17" xfId="0" applyFont="1" applyFill="1" applyBorder="1" applyAlignment="1" applyProtection="1">
      <alignment wrapText="1"/>
    </xf>
    <xf numFmtId="4" fontId="17" fillId="0" borderId="8" xfId="0" applyNumberFormat="1" applyFont="1" applyBorder="1" applyProtection="1"/>
    <xf numFmtId="0" fontId="17" fillId="0" borderId="34" xfId="0" applyFont="1" applyFill="1" applyBorder="1" applyAlignment="1" applyProtection="1">
      <alignment wrapText="1"/>
    </xf>
    <xf numFmtId="2" fontId="8" fillId="0" borderId="24" xfId="0" applyNumberFormat="1" applyFont="1" applyFill="1" applyBorder="1" applyProtection="1"/>
    <xf numFmtId="0" fontId="17" fillId="6" borderId="34" xfId="0" applyFont="1" applyFill="1" applyBorder="1" applyAlignment="1" applyProtection="1">
      <alignment wrapText="1"/>
    </xf>
    <xf numFmtId="0" fontId="17" fillId="6" borderId="24" xfId="0" applyFont="1" applyFill="1" applyBorder="1" applyAlignment="1" applyProtection="1">
      <alignment wrapText="1"/>
    </xf>
    <xf numFmtId="0" fontId="17" fillId="0" borderId="44" xfId="0" applyFont="1" applyFill="1" applyBorder="1" applyAlignment="1" applyProtection="1">
      <alignment wrapText="1"/>
    </xf>
    <xf numFmtId="0" fontId="17" fillId="6" borderId="17" xfId="0" applyFont="1" applyFill="1" applyBorder="1" applyProtection="1"/>
    <xf numFmtId="4" fontId="17" fillId="0" borderId="44" xfId="0" applyNumberFormat="1" applyFont="1" applyFill="1" applyBorder="1" applyProtection="1"/>
    <xf numFmtId="0" fontId="18" fillId="6" borderId="8" xfId="0" applyFont="1" applyFill="1" applyBorder="1" applyProtection="1"/>
    <xf numFmtId="4" fontId="18" fillId="0" borderId="1" xfId="0" applyNumberFormat="1" applyFont="1" applyBorder="1" applyProtection="1"/>
    <xf numFmtId="0" fontId="18" fillId="0" borderId="1" xfId="0" applyFont="1" applyBorder="1" applyAlignment="1" applyProtection="1">
      <alignment wrapText="1"/>
    </xf>
    <xf numFmtId="0" fontId="18" fillId="0" borderId="0" xfId="0" applyFont="1" applyAlignment="1" applyProtection="1">
      <alignment wrapText="1"/>
    </xf>
    <xf numFmtId="0" fontId="18" fillId="6" borderId="17" xfId="0" applyFont="1" applyFill="1" applyBorder="1" applyAlignment="1" applyProtection="1">
      <alignment wrapText="1"/>
    </xf>
    <xf numFmtId="4" fontId="18" fillId="0" borderId="8" xfId="0" applyNumberFormat="1" applyFont="1" applyBorder="1" applyProtection="1"/>
    <xf numFmtId="4" fontId="18" fillId="0" borderId="44" xfId="0" applyNumberFormat="1" applyFont="1" applyFill="1" applyBorder="1" applyProtection="1"/>
    <xf numFmtId="0" fontId="20" fillId="6" borderId="17" xfId="0" applyFont="1" applyFill="1" applyBorder="1" applyAlignment="1" applyProtection="1">
      <alignment wrapText="1"/>
    </xf>
    <xf numFmtId="4" fontId="20" fillId="0" borderId="8" xfId="0" applyNumberFormat="1" applyFont="1" applyBorder="1" applyProtection="1"/>
    <xf numFmtId="4" fontId="20" fillId="0" borderId="44" xfId="0" applyNumberFormat="1" applyFont="1" applyFill="1" applyBorder="1" applyProtection="1"/>
    <xf numFmtId="4" fontId="20" fillId="0" borderId="1" xfId="0" applyNumberFormat="1" applyFont="1" applyBorder="1" applyProtection="1"/>
    <xf numFmtId="0" fontId="20" fillId="0" borderId="0" xfId="0" applyFont="1" applyFill="1" applyBorder="1" applyAlignment="1" applyProtection="1">
      <alignment wrapText="1"/>
    </xf>
    <xf numFmtId="4" fontId="20" fillId="0" borderId="0" xfId="0" applyNumberFormat="1" applyFont="1" applyFill="1" applyBorder="1" applyProtection="1"/>
    <xf numFmtId="0" fontId="19" fillId="6" borderId="8" xfId="0" applyFont="1" applyFill="1" applyBorder="1" applyProtection="1"/>
    <xf numFmtId="4" fontId="19" fillId="0" borderId="1" xfId="0" applyNumberFormat="1" applyFont="1" applyBorder="1" applyProtection="1"/>
    <xf numFmtId="0" fontId="19" fillId="0" borderId="1" xfId="0" applyFont="1" applyBorder="1" applyAlignment="1" applyProtection="1">
      <alignment wrapText="1"/>
    </xf>
    <xf numFmtId="4" fontId="19" fillId="0" borderId="0" xfId="0" applyNumberFormat="1" applyFont="1" applyAlignment="1" applyProtection="1">
      <alignment wrapText="1"/>
    </xf>
    <xf numFmtId="0" fontId="20" fillId="6" borderId="8" xfId="0" applyFont="1" applyFill="1" applyBorder="1" applyProtection="1"/>
    <xf numFmtId="0" fontId="20" fillId="0" borderId="1" xfId="0" applyFont="1" applyBorder="1" applyAlignment="1" applyProtection="1">
      <alignment wrapText="1"/>
    </xf>
    <xf numFmtId="0" fontId="20" fillId="0" borderId="0" xfId="0" applyFont="1" applyAlignment="1" applyProtection="1">
      <alignment wrapText="1"/>
    </xf>
    <xf numFmtId="0" fontId="23" fillId="0" borderId="0" xfId="0" applyFont="1" applyProtection="1"/>
    <xf numFmtId="0" fontId="19" fillId="0" borderId="0" xfId="0" applyFont="1" applyAlignment="1" applyProtection="1">
      <alignment wrapText="1"/>
    </xf>
    <xf numFmtId="0" fontId="24" fillId="0" borderId="0" xfId="0" applyFont="1" applyProtection="1"/>
    <xf numFmtId="0" fontId="5" fillId="0" borderId="0" xfId="0" applyFont="1" applyAlignment="1" applyProtection="1">
      <alignment wrapText="1"/>
    </xf>
    <xf numFmtId="0" fontId="25" fillId="0" borderId="0" xfId="0" applyFont="1" applyProtection="1"/>
    <xf numFmtId="0" fontId="25" fillId="0" borderId="0" xfId="0" applyFont="1" applyFill="1" applyBorder="1" applyProtection="1"/>
    <xf numFmtId="0" fontId="37" fillId="0" borderId="0" xfId="6" applyFont="1" applyAlignment="1" applyProtection="1">
      <alignment vertical="top" wrapText="1"/>
    </xf>
    <xf numFmtId="0" fontId="6" fillId="0" borderId="56" xfId="0" applyFont="1" applyFill="1" applyBorder="1" applyProtection="1"/>
    <xf numFmtId="0" fontId="8" fillId="3" borderId="41" xfId="0" applyFont="1" applyFill="1" applyBorder="1" applyProtection="1"/>
    <xf numFmtId="2" fontId="8" fillId="0" borderId="43" xfId="0" applyNumberFormat="1" applyFont="1" applyBorder="1" applyProtection="1"/>
    <xf numFmtId="0" fontId="8" fillId="3" borderId="5" xfId="0" applyFont="1" applyFill="1" applyBorder="1" applyProtection="1"/>
    <xf numFmtId="0" fontId="28" fillId="0" borderId="0" xfId="0" applyFont="1"/>
    <xf numFmtId="0" fontId="20" fillId="6" borderId="28" xfId="0" applyFont="1" applyFill="1" applyBorder="1" applyAlignment="1">
      <alignment horizontal="center"/>
    </xf>
    <xf numFmtId="1" fontId="8" fillId="0" borderId="34" xfId="1" applyNumberFormat="1" applyFont="1" applyFill="1" applyBorder="1" applyAlignment="1" applyProtection="1">
      <alignment horizontal="center"/>
    </xf>
    <xf numFmtId="164" fontId="8" fillId="0" borderId="24" xfId="5" applyNumberFormat="1" applyFont="1" applyFill="1" applyBorder="1" applyProtection="1"/>
    <xf numFmtId="0" fontId="8" fillId="0" borderId="12" xfId="0" applyFont="1" applyBorder="1"/>
    <xf numFmtId="0" fontId="8" fillId="0" borderId="0" xfId="0" applyFont="1"/>
    <xf numFmtId="0" fontId="8" fillId="0" borderId="13" xfId="0" applyFont="1" applyBorder="1"/>
    <xf numFmtId="166" fontId="8" fillId="8" borderId="17" xfId="1" applyFont="1" applyFill="1" applyBorder="1" applyAlignment="1" applyProtection="1">
      <alignment vertical="center"/>
      <protection locked="0"/>
    </xf>
    <xf numFmtId="1" fontId="42" fillId="0" borderId="34" xfId="1" applyNumberFormat="1" applyFont="1" applyFill="1" applyBorder="1" applyAlignment="1" applyProtection="1">
      <alignment horizontal="center"/>
    </xf>
    <xf numFmtId="164" fontId="42" fillId="0" borderId="24" xfId="5" applyNumberFormat="1" applyFont="1" applyFill="1" applyBorder="1" applyProtection="1"/>
    <xf numFmtId="0" fontId="8" fillId="0" borderId="0" xfId="0" applyFont="1" applyAlignment="1" applyProtection="1">
      <alignment wrapText="1"/>
    </xf>
    <xf numFmtId="4" fontId="8" fillId="0" borderId="31" xfId="0" applyNumberFormat="1" applyFont="1" applyFill="1" applyBorder="1" applyProtection="1"/>
    <xf numFmtId="0" fontId="6" fillId="0" borderId="2" xfId="0" applyFont="1" applyBorder="1"/>
    <xf numFmtId="14" fontId="8" fillId="4" borderId="4" xfId="0" applyNumberFormat="1" applyFont="1" applyFill="1" applyBorder="1"/>
    <xf numFmtId="14" fontId="8" fillId="4" borderId="5" xfId="0" applyNumberFormat="1" applyFont="1" applyFill="1" applyBorder="1"/>
    <xf numFmtId="0" fontId="8" fillId="4" borderId="7" xfId="0" applyFont="1" applyFill="1" applyBorder="1"/>
    <xf numFmtId="4" fontId="8" fillId="0" borderId="16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8" fillId="4" borderId="7" xfId="0" applyFont="1" applyFill="1" applyBorder="1" applyAlignment="1">
      <alignment wrapText="1"/>
    </xf>
    <xf numFmtId="4" fontId="8" fillId="0" borderId="8" xfId="0" applyNumberFormat="1" applyFont="1" applyBorder="1" applyAlignment="1">
      <alignment horizontal="center"/>
    </xf>
    <xf numFmtId="0" fontId="6" fillId="4" borderId="14" xfId="0" applyFont="1" applyFill="1" applyBorder="1" applyAlignment="1">
      <alignment wrapText="1"/>
    </xf>
    <xf numFmtId="4" fontId="8" fillId="0" borderId="10" xfId="1" applyNumberFormat="1" applyFont="1" applyBorder="1" applyProtection="1"/>
    <xf numFmtId="4" fontId="8" fillId="0" borderId="1" xfId="1" applyNumberFormat="1" applyFont="1" applyBorder="1" applyProtection="1"/>
    <xf numFmtId="0" fontId="8" fillId="3" borderId="28" xfId="0" applyFont="1" applyFill="1" applyBorder="1" applyAlignment="1" applyProtection="1">
      <alignment horizontal="center"/>
    </xf>
    <xf numFmtId="0" fontId="8" fillId="3" borderId="29" xfId="0" applyFont="1" applyFill="1" applyBorder="1" applyAlignment="1" applyProtection="1">
      <alignment horizontal="center"/>
    </xf>
    <xf numFmtId="4" fontId="8" fillId="0" borderId="32" xfId="1" applyNumberFormat="1" applyFont="1" applyBorder="1" applyProtection="1"/>
    <xf numFmtId="4" fontId="8" fillId="0" borderId="15" xfId="1" applyNumberFormat="1" applyFont="1" applyBorder="1" applyProtection="1"/>
    <xf numFmtId="0" fontId="6" fillId="0" borderId="47" xfId="0" applyFont="1" applyBorder="1" applyProtection="1"/>
    <xf numFmtId="0" fontId="6" fillId="0" borderId="57" xfId="0" applyFont="1" applyBorder="1" applyProtection="1"/>
    <xf numFmtId="0" fontId="8" fillId="3" borderId="58" xfId="0" applyFont="1" applyFill="1" applyBorder="1" applyProtection="1"/>
    <xf numFmtId="0" fontId="8" fillId="2" borderId="1" xfId="0" applyFont="1" applyFill="1" applyBorder="1" applyAlignment="1">
      <alignment horizontal="center" wrapText="1"/>
    </xf>
    <xf numFmtId="168" fontId="4" fillId="0" borderId="0" xfId="0" applyNumberFormat="1" applyFont="1" applyProtection="1"/>
    <xf numFmtId="168" fontId="4" fillId="0" borderId="0" xfId="0" applyNumberFormat="1" applyFont="1" applyFill="1" applyProtection="1"/>
    <xf numFmtId="4" fontId="38" fillId="8" borderId="33" xfId="0" applyNumberFormat="1" applyFont="1" applyFill="1" applyBorder="1" applyProtection="1">
      <protection locked="0"/>
    </xf>
    <xf numFmtId="4" fontId="38" fillId="8" borderId="32" xfId="0" applyNumberFormat="1" applyFont="1" applyFill="1" applyBorder="1" applyProtection="1">
      <protection locked="0"/>
    </xf>
    <xf numFmtId="14" fontId="8" fillId="3" borderId="47" xfId="0" applyNumberFormat="1" applyFont="1" applyFill="1" applyBorder="1" applyAlignment="1" applyProtection="1">
      <alignment wrapText="1"/>
    </xf>
    <xf numFmtId="0" fontId="22" fillId="0" borderId="0" xfId="6"/>
    <xf numFmtId="0" fontId="6" fillId="0" borderId="0" xfId="0" applyFont="1"/>
    <xf numFmtId="4" fontId="38" fillId="0" borderId="15" xfId="0" applyNumberFormat="1" applyFont="1" applyFill="1" applyBorder="1" applyProtection="1"/>
    <xf numFmtId="3" fontId="8" fillId="0" borderId="1" xfId="1" applyNumberFormat="1" applyFont="1" applyFill="1" applyBorder="1" applyAlignment="1" applyProtection="1">
      <alignment horizontal="center"/>
    </xf>
    <xf numFmtId="14" fontId="8" fillId="8" borderId="1" xfId="0" applyNumberFormat="1" applyFont="1" applyFill="1" applyBorder="1" applyProtection="1">
      <protection locked="0"/>
    </xf>
    <xf numFmtId="3" fontId="8" fillId="0" borderId="1" xfId="1" applyNumberFormat="1" applyFont="1" applyBorder="1" applyProtection="1"/>
    <xf numFmtId="3" fontId="8" fillId="0" borderId="32" xfId="1" applyNumberFormat="1" applyFont="1" applyBorder="1" applyProtection="1"/>
    <xf numFmtId="1" fontId="8" fillId="8" borderId="1" xfId="0" applyNumberFormat="1" applyFont="1" applyFill="1" applyBorder="1" applyAlignment="1" applyProtection="1">
      <alignment horizontal="center"/>
      <protection locked="0"/>
    </xf>
    <xf numFmtId="2" fontId="8" fillId="0" borderId="1" xfId="0" applyNumberFormat="1" applyFont="1" applyFill="1" applyBorder="1" applyProtection="1"/>
    <xf numFmtId="14" fontId="6" fillId="0" borderId="59" xfId="0" applyNumberFormat="1" applyFont="1" applyBorder="1"/>
    <xf numFmtId="169" fontId="8" fillId="0" borderId="28" xfId="0" applyNumberFormat="1" applyFont="1" applyBorder="1" applyAlignment="1">
      <alignment horizontal="center"/>
    </xf>
    <xf numFmtId="1" fontId="43" fillId="0" borderId="34" xfId="1" applyNumberFormat="1" applyFont="1" applyFill="1" applyBorder="1" applyAlignment="1" applyProtection="1">
      <alignment horizontal="center"/>
    </xf>
    <xf numFmtId="164" fontId="43" fillId="0" borderId="24" xfId="5" applyNumberFormat="1" applyFont="1" applyFill="1" applyBorder="1" applyProtection="1"/>
    <xf numFmtId="169" fontId="8" fillId="0" borderId="1" xfId="0" applyNumberFormat="1" applyFont="1" applyBorder="1" applyAlignment="1">
      <alignment horizontal="center"/>
    </xf>
    <xf numFmtId="169" fontId="8" fillId="0" borderId="28" xfId="5" applyNumberFormat="1" applyFont="1" applyFill="1" applyBorder="1" applyAlignment="1" applyProtection="1">
      <alignment horizontal="center"/>
    </xf>
    <xf numFmtId="14" fontId="8" fillId="8" borderId="1" xfId="0" applyNumberFormat="1" applyFont="1" applyFill="1" applyBorder="1"/>
    <xf numFmtId="2" fontId="8" fillId="2" borderId="17" xfId="1" applyNumberFormat="1" applyFont="1" applyFill="1" applyBorder="1" applyProtection="1"/>
    <xf numFmtId="166" fontId="6" fillId="5" borderId="0" xfId="1" applyNumberFormat="1" applyFont="1" applyFill="1" applyBorder="1" applyProtection="1"/>
    <xf numFmtId="0" fontId="39" fillId="8" borderId="39" xfId="0" applyFont="1" applyFill="1" applyBorder="1" applyAlignment="1" applyProtection="1">
      <alignment horizontal="center"/>
    </xf>
    <xf numFmtId="0" fontId="39" fillId="8" borderId="40" xfId="0" applyFont="1" applyFill="1" applyBorder="1" applyAlignment="1" applyProtection="1">
      <alignment horizontal="center"/>
    </xf>
    <xf numFmtId="0" fontId="39" fillId="8" borderId="6" xfId="0" applyFont="1" applyFill="1" applyBorder="1" applyAlignment="1" applyProtection="1">
      <alignment horizontal="center"/>
    </xf>
    <xf numFmtId="0" fontId="39" fillId="8" borderId="41" xfId="0" applyFont="1" applyFill="1" applyBorder="1" applyAlignment="1" applyProtection="1">
      <alignment horizontal="center"/>
    </xf>
    <xf numFmtId="0" fontId="39" fillId="8" borderId="42" xfId="0" applyFont="1" applyFill="1" applyBorder="1" applyAlignment="1" applyProtection="1">
      <alignment horizontal="center"/>
    </xf>
    <xf numFmtId="0" fontId="39" fillId="8" borderId="43" xfId="0" applyFont="1" applyFill="1" applyBorder="1" applyAlignment="1" applyProtection="1">
      <alignment horizontal="center"/>
    </xf>
    <xf numFmtId="0" fontId="32" fillId="0" borderId="39" xfId="0" applyFont="1" applyBorder="1" applyAlignment="1" applyProtection="1">
      <alignment horizontal="center"/>
    </xf>
    <xf numFmtId="0" fontId="32" fillId="0" borderId="40" xfId="0" applyFont="1" applyBorder="1" applyAlignment="1" applyProtection="1">
      <alignment horizontal="center"/>
    </xf>
    <xf numFmtId="0" fontId="32" fillId="0" borderId="6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left" vertical="top" wrapText="1"/>
    </xf>
    <xf numFmtId="0" fontId="8" fillId="0" borderId="0" xfId="0" applyFont="1" applyAlignment="1" applyProtection="1">
      <alignment horizontal="left" vertical="top" wrapText="1"/>
    </xf>
    <xf numFmtId="2" fontId="6" fillId="0" borderId="38" xfId="0" applyNumberFormat="1" applyFont="1" applyBorder="1" applyAlignment="1">
      <alignment horizontal="center"/>
    </xf>
    <xf numFmtId="2" fontId="6" fillId="0" borderId="33" xfId="0" applyNumberFormat="1" applyFont="1" applyBorder="1" applyAlignment="1">
      <alignment horizontal="center"/>
    </xf>
    <xf numFmtId="0" fontId="39" fillId="8" borderId="52" xfId="0" applyFont="1" applyFill="1" applyBorder="1" applyAlignment="1" applyProtection="1">
      <alignment horizontal="center"/>
    </xf>
    <xf numFmtId="0" fontId="39" fillId="8" borderId="53" xfId="0" applyFont="1" applyFill="1" applyBorder="1" applyAlignment="1" applyProtection="1">
      <alignment horizontal="center"/>
    </xf>
    <xf numFmtId="0" fontId="39" fillId="8" borderId="54" xfId="0" applyFont="1" applyFill="1" applyBorder="1" applyAlignment="1" applyProtection="1">
      <alignment horizontal="center"/>
    </xf>
    <xf numFmtId="0" fontId="6" fillId="0" borderId="45" xfId="0" applyFont="1" applyBorder="1" applyProtection="1"/>
    <xf numFmtId="0" fontId="6" fillId="0" borderId="46" xfId="0" applyFont="1" applyBorder="1" applyProtection="1"/>
    <xf numFmtId="0" fontId="6" fillId="0" borderId="36" xfId="0" applyFont="1" applyBorder="1" applyProtection="1"/>
    <xf numFmtId="0" fontId="8" fillId="3" borderId="37" xfId="0" applyFont="1" applyFill="1" applyBorder="1" applyAlignment="1" applyProtection="1">
      <alignment horizontal="left"/>
    </xf>
    <xf numFmtId="0" fontId="8" fillId="3" borderId="32" xfId="0" applyFont="1" applyFill="1" applyBorder="1" applyAlignment="1" applyProtection="1">
      <alignment horizontal="left"/>
    </xf>
    <xf numFmtId="0" fontId="8" fillId="3" borderId="17" xfId="0" applyFont="1" applyFill="1" applyBorder="1" applyAlignment="1" applyProtection="1">
      <alignment horizontal="left"/>
    </xf>
    <xf numFmtId="0" fontId="8" fillId="3" borderId="8" xfId="0" applyFont="1" applyFill="1" applyBorder="1" applyAlignment="1" applyProtection="1">
      <alignment horizontal="left"/>
    </xf>
    <xf numFmtId="0" fontId="6" fillId="7" borderId="0" xfId="0" applyFont="1" applyFill="1" applyBorder="1" applyAlignment="1">
      <alignment horizontal="center"/>
    </xf>
    <xf numFmtId="0" fontId="6" fillId="7" borderId="0" xfId="0" applyFont="1" applyFill="1" applyBorder="1" applyAlignment="1" applyProtection="1">
      <alignment horizontal="center"/>
    </xf>
    <xf numFmtId="0" fontId="8" fillId="3" borderId="31" xfId="0" applyFont="1" applyFill="1" applyBorder="1" applyAlignment="1" applyProtection="1">
      <alignment horizontal="left"/>
    </xf>
    <xf numFmtId="0" fontId="6" fillId="0" borderId="40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0" fontId="8" fillId="3" borderId="1" xfId="0" applyFont="1" applyFill="1" applyBorder="1" applyAlignment="1" applyProtection="1">
      <alignment horizontal="left"/>
    </xf>
    <xf numFmtId="0" fontId="8" fillId="3" borderId="25" xfId="0" applyFont="1" applyFill="1" applyBorder="1" applyAlignment="1" applyProtection="1">
      <alignment horizontal="left"/>
    </xf>
    <xf numFmtId="0" fontId="8" fillId="3" borderId="26" xfId="0" applyFont="1" applyFill="1" applyBorder="1" applyAlignment="1" applyProtection="1">
      <alignment horizontal="left"/>
    </xf>
    <xf numFmtId="0" fontId="8" fillId="3" borderId="34" xfId="0" applyFont="1" applyFill="1" applyBorder="1" applyAlignment="1" applyProtection="1">
      <alignment horizontal="left"/>
    </xf>
    <xf numFmtId="0" fontId="8" fillId="3" borderId="24" xfId="0" applyFont="1" applyFill="1" applyBorder="1" applyAlignment="1" applyProtection="1">
      <alignment horizontal="left"/>
    </xf>
    <xf numFmtId="0" fontId="8" fillId="3" borderId="38" xfId="0" applyFont="1" applyFill="1" applyBorder="1" applyAlignment="1" applyProtection="1">
      <alignment horizontal="left"/>
    </xf>
    <xf numFmtId="0" fontId="8" fillId="0" borderId="0" xfId="0" applyFont="1" applyAlignment="1" applyProtection="1">
      <alignment wrapText="1"/>
    </xf>
    <xf numFmtId="0" fontId="26" fillId="0" borderId="42" xfId="0" applyFont="1" applyBorder="1" applyAlignment="1" applyProtection="1">
      <alignment horizontal="center"/>
    </xf>
    <xf numFmtId="0" fontId="39" fillId="8" borderId="45" xfId="0" applyFont="1" applyFill="1" applyBorder="1" applyAlignment="1" applyProtection="1">
      <alignment horizontal="center"/>
    </xf>
    <xf numFmtId="0" fontId="39" fillId="8" borderId="46" xfId="0" applyFont="1" applyFill="1" applyBorder="1" applyAlignment="1" applyProtection="1">
      <alignment horizontal="center"/>
    </xf>
    <xf numFmtId="0" fontId="39" fillId="8" borderId="55" xfId="0" applyFont="1" applyFill="1" applyBorder="1" applyAlignment="1" applyProtection="1">
      <alignment horizontal="center"/>
    </xf>
    <xf numFmtId="0" fontId="6" fillId="2" borderId="8" xfId="0" applyFont="1" applyFill="1" applyBorder="1" applyAlignment="1">
      <alignment horizontal="left" wrapText="1"/>
    </xf>
    <xf numFmtId="0" fontId="6" fillId="2" borderId="16" xfId="0" applyFont="1" applyFill="1" applyBorder="1" applyAlignment="1">
      <alignment horizontal="left" wrapText="1"/>
    </xf>
    <xf numFmtId="0" fontId="6" fillId="2" borderId="17" xfId="0" applyFont="1" applyFill="1" applyBorder="1" applyAlignment="1">
      <alignment horizontal="left" wrapText="1"/>
    </xf>
    <xf numFmtId="0" fontId="6" fillId="2" borderId="8" xfId="0" applyFont="1" applyFill="1" applyBorder="1" applyAlignment="1" applyProtection="1">
      <alignment wrapText="1"/>
    </xf>
    <xf numFmtId="0" fontId="6" fillId="2" borderId="16" xfId="0" applyFont="1" applyFill="1" applyBorder="1" applyAlignment="1" applyProtection="1">
      <alignment wrapText="1"/>
    </xf>
    <xf numFmtId="0" fontId="8" fillId="8" borderId="8" xfId="0" applyFont="1" applyFill="1" applyBorder="1" applyProtection="1">
      <protection locked="0"/>
    </xf>
    <xf numFmtId="0" fontId="8" fillId="8" borderId="17" xfId="0" applyFont="1" applyFill="1" applyBorder="1" applyProtection="1">
      <protection locked="0"/>
    </xf>
    <xf numFmtId="0" fontId="5" fillId="0" borderId="20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</cellXfs>
  <cellStyles count="7">
    <cellStyle name="Komma" xfId="1" builtinId="3"/>
    <cellStyle name="Komma 2" xfId="2" xr:uid="{00000000-0005-0000-0000-000001000000}"/>
    <cellStyle name="Komma 3" xfId="3" xr:uid="{00000000-0005-0000-0000-000002000000}"/>
    <cellStyle name="Link" xfId="6" builtinId="8"/>
    <cellStyle name="Normal" xfId="0" builtinId="0"/>
    <cellStyle name="Normal 2" xfId="4" xr:uid="{00000000-0005-0000-0000-000005000000}"/>
    <cellStyle name="Valuta" xfId="5" builtinId="4"/>
  </cellStyles>
  <dxfs count="8">
    <dxf>
      <font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164" formatCode="_ &quot;kr.&quot;\ * #,##0.00_ ;_ &quot;kr.&quot;\ * \-#,##0.00_ ;_ &quot;kr.&quot;\ * &quot;-&quot;??_ ;_ @_ 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family val="2"/>
        <scheme val="none"/>
      </font>
      <numFmt numFmtId="169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Verdana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Verdana"/>
        <scheme val="none"/>
      </font>
      <fill>
        <patternFill patternType="none">
          <fgColor indexed="64"/>
          <bgColor auto="1"/>
        </patternFill>
      </fill>
      <protection locked="1" hidden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indent="0" justifyLastLine="0" shrinkToFit="0" readingOrder="0"/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C41:E55" totalsRowShown="0" headerRowDxfId="7" dataDxfId="5" headerRowBorderDxfId="6" tableBorderDxfId="4" totalsRowBorderDxfId="3">
  <tableColumns count="3">
    <tableColumn id="1" xr3:uid="{00000000-0010-0000-0000-000001000000}" name="Årsfremskrivning " dataDxfId="2" dataCellStyle="Komma"/>
    <tableColumn id="2" xr3:uid="{00000000-0010-0000-0000-000002000000}" name="Generel pris- og lønstigning, pct." dataDxfId="1"/>
    <tableColumn id="3" xr3:uid="{00000000-0010-0000-0000-000003000000}" name="Pristals-reguleret lønadministra-tionstakst" dataDxfId="0" dataCellStyle="Valuta">
      <calculatedColumnFormula>ROUND(E41*(D42+100)/100,2)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kl.dk/okonomi-og-administration/okonomi-og-styring/kommunal-oekonomi-a-z/" TargetMode="External"/><Relationship Id="rId1" Type="http://schemas.openxmlformats.org/officeDocument/2006/relationships/hyperlink" Target="https://www.danskerhverv.dk/politik-og-analyser/velfard/bpa---beregner/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5"/>
  <sheetViews>
    <sheetView tabSelected="1" zoomScaleNormal="100" workbookViewId="0"/>
  </sheetViews>
  <sheetFormatPr defaultColWidth="9.33203125" defaultRowHeight="10.5" x14ac:dyDescent="0.15"/>
  <cols>
    <col min="1" max="1" width="11.83203125" style="2" customWidth="1"/>
    <col min="2" max="2" width="52.5" style="2" customWidth="1"/>
    <col min="3" max="3" width="22.33203125" style="2" customWidth="1"/>
    <col min="4" max="4" width="22" style="2" customWidth="1"/>
    <col min="5" max="5" width="18.1640625" style="2" customWidth="1"/>
    <col min="6" max="6" width="17.83203125" style="2" bestFit="1" customWidth="1"/>
    <col min="7" max="16384" width="9.33203125" style="2"/>
  </cols>
  <sheetData>
    <row r="1" spans="1:6" ht="19.5" x14ac:dyDescent="0.25">
      <c r="A1" s="1" t="s">
        <v>265</v>
      </c>
    </row>
    <row r="2" spans="1:6" ht="14.25" customHeight="1" thickBot="1" x14ac:dyDescent="0.3">
      <c r="A2" s="1"/>
    </row>
    <row r="3" spans="1:6" ht="15" x14ac:dyDescent="0.25">
      <c r="A3" s="354" t="s">
        <v>307</v>
      </c>
      <c r="B3" s="355"/>
      <c r="C3" s="355"/>
      <c r="D3" s="355"/>
      <c r="E3" s="355"/>
      <c r="F3" s="356"/>
    </row>
    <row r="4" spans="1:6" ht="15.75" thickBot="1" x14ac:dyDescent="0.3">
      <c r="A4" s="357" t="s">
        <v>308</v>
      </c>
      <c r="B4" s="358"/>
      <c r="C4" s="358"/>
      <c r="D4" s="358"/>
      <c r="E4" s="358"/>
      <c r="F4" s="359"/>
    </row>
    <row r="5" spans="1:6" ht="11.25" thickBot="1" x14ac:dyDescent="0.2"/>
    <row r="6" spans="1:6" x14ac:dyDescent="0.15">
      <c r="A6" s="4" t="s">
        <v>129</v>
      </c>
      <c r="B6" s="5"/>
      <c r="C6" s="5"/>
      <c r="D6" s="5"/>
      <c r="E6" s="5"/>
      <c r="F6" s="6"/>
    </row>
    <row r="7" spans="1:6" x14ac:dyDescent="0.15">
      <c r="A7" s="7"/>
      <c r="B7" s="8"/>
      <c r="C7" s="8"/>
      <c r="D7" s="8"/>
      <c r="E7" s="8"/>
      <c r="F7" s="9" t="s">
        <v>256</v>
      </c>
    </row>
    <row r="8" spans="1:6" x14ac:dyDescent="0.15">
      <c r="A8" s="7"/>
      <c r="B8" s="10" t="s">
        <v>258</v>
      </c>
      <c r="C8" s="62" t="s">
        <v>298</v>
      </c>
      <c r="D8" s="11" t="e">
        <f>IF(C8="BPA-HHOK",Budgetark!B22,Budgetark!C22)</f>
        <v>#DIV/0!</v>
      </c>
      <c r="E8" s="8"/>
      <c r="F8" s="12"/>
    </row>
    <row r="9" spans="1:6" x14ac:dyDescent="0.15">
      <c r="A9" s="7"/>
      <c r="B9" s="8" t="s">
        <v>130</v>
      </c>
      <c r="C9" s="13"/>
      <c r="D9" s="63">
        <v>0</v>
      </c>
      <c r="E9" s="8"/>
      <c r="F9" s="14" t="e">
        <f>D8*D9</f>
        <v>#DIV/0!</v>
      </c>
    </row>
    <row r="10" spans="1:6" x14ac:dyDescent="0.15">
      <c r="A10" s="7"/>
      <c r="B10" s="15" t="s">
        <v>255</v>
      </c>
      <c r="C10" s="15"/>
      <c r="D10" s="16">
        <f>+IF(C8="BPA-HHOK",E55*Budgetark!G6/Budgetark!G7,E55*Budgetark!J6/Budgetark!J7)</f>
        <v>2039.16</v>
      </c>
      <c r="E10" s="15"/>
      <c r="F10" s="17">
        <f>D10*F27</f>
        <v>0</v>
      </c>
    </row>
    <row r="11" spans="1:6" ht="11.25" thickBot="1" x14ac:dyDescent="0.2">
      <c r="A11" s="18"/>
      <c r="B11" s="19" t="s">
        <v>257</v>
      </c>
      <c r="C11" s="20"/>
      <c r="D11" s="21"/>
      <c r="E11" s="20"/>
      <c r="F11" s="22" t="e">
        <f>F10+F9</f>
        <v>#DIV/0!</v>
      </c>
    </row>
    <row r="12" spans="1:6" x14ac:dyDescent="0.15">
      <c r="A12" s="8"/>
      <c r="C12" s="23"/>
      <c r="D12" s="24"/>
      <c r="E12" s="24"/>
      <c r="F12" s="24"/>
    </row>
    <row r="13" spans="1:6" x14ac:dyDescent="0.15">
      <c r="A13" s="25" t="s">
        <v>295</v>
      </c>
    </row>
    <row r="14" spans="1:6" ht="34.5" customHeight="1" x14ac:dyDescent="0.15">
      <c r="B14" s="363" t="s">
        <v>259</v>
      </c>
      <c r="C14" s="363"/>
      <c r="D14" s="363"/>
      <c r="E14" s="363"/>
      <c r="F14" s="363"/>
    </row>
    <row r="15" spans="1:6" ht="31.9" customHeight="1" x14ac:dyDescent="0.15">
      <c r="B15" s="364" t="s">
        <v>260</v>
      </c>
      <c r="C15" s="364"/>
      <c r="D15" s="364"/>
      <c r="E15" s="364"/>
      <c r="F15" s="364"/>
    </row>
    <row r="16" spans="1:6" ht="22.15" customHeight="1" x14ac:dyDescent="0.15">
      <c r="B16" s="295" t="s">
        <v>293</v>
      </c>
      <c r="C16" s="364" t="s">
        <v>292</v>
      </c>
      <c r="D16" s="364"/>
      <c r="E16" s="364"/>
      <c r="F16" s="364"/>
    </row>
    <row r="17" spans="1:6" x14ac:dyDescent="0.15">
      <c r="B17" s="26"/>
      <c r="C17" s="26"/>
      <c r="D17" s="26"/>
      <c r="E17" s="26"/>
      <c r="F17" s="26"/>
    </row>
    <row r="18" spans="1:6" x14ac:dyDescent="0.15">
      <c r="A18" s="25" t="s">
        <v>131</v>
      </c>
      <c r="B18" s="27"/>
      <c r="C18" s="27"/>
      <c r="D18" s="27"/>
      <c r="E18" s="27"/>
      <c r="F18" s="27"/>
    </row>
    <row r="19" spans="1:6" ht="42.75" customHeight="1" x14ac:dyDescent="0.15">
      <c r="B19" s="364" t="s">
        <v>261</v>
      </c>
      <c r="C19" s="364"/>
      <c r="D19" s="364"/>
      <c r="E19" s="364"/>
      <c r="F19" s="364"/>
    </row>
    <row r="20" spans="1:6" x14ac:dyDescent="0.15">
      <c r="B20" s="27"/>
      <c r="C20" s="27"/>
      <c r="D20" s="27"/>
      <c r="E20" s="27"/>
      <c r="F20" s="27"/>
    </row>
    <row r="21" spans="1:6" x14ac:dyDescent="0.15">
      <c r="A21" s="28" t="s">
        <v>132</v>
      </c>
    </row>
    <row r="22" spans="1:6" x14ac:dyDescent="0.15">
      <c r="B22" s="2" t="s">
        <v>133</v>
      </c>
    </row>
    <row r="23" spans="1:6" x14ac:dyDescent="0.15">
      <c r="B23" s="29" t="s">
        <v>281</v>
      </c>
    </row>
    <row r="24" spans="1:6" x14ac:dyDescent="0.15">
      <c r="B24" s="29" t="s">
        <v>134</v>
      </c>
    </row>
    <row r="26" spans="1:6" ht="31.5" x14ac:dyDescent="0.15">
      <c r="A26" s="30"/>
      <c r="B26" s="31" t="s">
        <v>262</v>
      </c>
      <c r="C26" s="32" t="str">
        <f>+C30</f>
        <v xml:space="preserve">Faste hjælpere </v>
      </c>
      <c r="D26" s="32" t="str">
        <f>+D30</f>
        <v xml:space="preserve">Afløsere/vikar </v>
      </c>
      <c r="E26" s="32" t="str">
        <f>+E30</f>
        <v xml:space="preserve">Personale-omsætning </v>
      </c>
      <c r="F26" s="33" t="str">
        <f>+F30</f>
        <v>Total hjælper tilknytning i team</v>
      </c>
    </row>
    <row r="27" spans="1:6" x14ac:dyDescent="0.15">
      <c r="B27" s="34">
        <f>IF(C8="BPA-HHOK",'BPA-HHOK'!F46,'SOSU-OK'!F46)</f>
        <v>0</v>
      </c>
      <c r="C27" s="35">
        <f>IF(B27&gt;72,ROUNDUP(B27/24,0),IF(AND(20&gt;B27,B27&gt;0),2,IF(AND(40&gt;B27,B27&gt;0),3,IF(AND(73&gt;B27,B27&gt;0),4,0))))</f>
        <v>0</v>
      </c>
      <c r="D27" s="35">
        <f>ROUNDUP(C27/4,0)</f>
        <v>0</v>
      </c>
      <c r="E27" s="35">
        <f>ROUND((C27+D27)*0.3,0)</f>
        <v>0</v>
      </c>
      <c r="F27" s="36">
        <f>+E27+D27+C27</f>
        <v>0</v>
      </c>
    </row>
    <row r="28" spans="1:6" ht="11.25" thickBot="1" x14ac:dyDescent="0.2">
      <c r="B28" s="37"/>
    </row>
    <row r="29" spans="1:6" x14ac:dyDescent="0.15">
      <c r="A29" s="360" t="s">
        <v>135</v>
      </c>
      <c r="B29" s="361"/>
      <c r="C29" s="361"/>
      <c r="D29" s="361"/>
      <c r="E29" s="361"/>
      <c r="F29" s="362"/>
    </row>
    <row r="30" spans="1:6" ht="31.5" x14ac:dyDescent="0.15">
      <c r="A30" s="38" t="s">
        <v>264</v>
      </c>
      <c r="B30" s="39" t="s">
        <v>136</v>
      </c>
      <c r="C30" s="40" t="s">
        <v>137</v>
      </c>
      <c r="D30" s="40" t="s">
        <v>138</v>
      </c>
      <c r="E30" s="41" t="s">
        <v>263</v>
      </c>
      <c r="F30" s="42" t="s">
        <v>139</v>
      </c>
    </row>
    <row r="31" spans="1:6" x14ac:dyDescent="0.15">
      <c r="A31" s="43" t="s">
        <v>140</v>
      </c>
      <c r="B31" s="8" t="s">
        <v>141</v>
      </c>
      <c r="C31" s="44">
        <v>2</v>
      </c>
      <c r="D31" s="44">
        <v>1</v>
      </c>
      <c r="E31" s="45">
        <f>SUM(C31:D31)*0.3</f>
        <v>0.89999999999999991</v>
      </c>
      <c r="F31" s="46">
        <f>+E31+D31+C31</f>
        <v>3.9</v>
      </c>
    </row>
    <row r="32" spans="1:6" x14ac:dyDescent="0.15">
      <c r="A32" s="47" t="s">
        <v>142</v>
      </c>
      <c r="B32" s="8" t="s">
        <v>141</v>
      </c>
      <c r="C32" s="44">
        <v>3</v>
      </c>
      <c r="D32" s="44">
        <v>1</v>
      </c>
      <c r="E32" s="45">
        <f t="shared" ref="E32:E33" si="0">SUM(C32:D32)*0.3</f>
        <v>1.2</v>
      </c>
      <c r="F32" s="46">
        <f t="shared" ref="F32:F33" si="1">+E32+D32+C32</f>
        <v>5.2</v>
      </c>
    </row>
    <row r="33" spans="1:6" x14ac:dyDescent="0.15">
      <c r="A33" s="47" t="s">
        <v>143</v>
      </c>
      <c r="B33" s="8" t="s">
        <v>141</v>
      </c>
      <c r="C33" s="44">
        <v>4</v>
      </c>
      <c r="D33" s="44">
        <v>1</v>
      </c>
      <c r="E33" s="45">
        <f t="shared" si="0"/>
        <v>1.5</v>
      </c>
      <c r="F33" s="46">
        <f t="shared" si="1"/>
        <v>6.5</v>
      </c>
    </row>
    <row r="34" spans="1:6" x14ac:dyDescent="0.15">
      <c r="A34" s="48" t="s">
        <v>144</v>
      </c>
      <c r="B34" s="49" t="s">
        <v>145</v>
      </c>
      <c r="C34" s="50" t="s">
        <v>146</v>
      </c>
      <c r="D34" s="50" t="s">
        <v>146</v>
      </c>
      <c r="E34" s="51" t="s">
        <v>146</v>
      </c>
      <c r="F34" s="52" t="s">
        <v>267</v>
      </c>
    </row>
    <row r="35" spans="1:6" ht="11.25" thickBot="1" x14ac:dyDescent="0.2">
      <c r="A35" s="53"/>
      <c r="B35" s="54" t="s">
        <v>147</v>
      </c>
      <c r="C35" s="54"/>
      <c r="D35" s="54"/>
      <c r="E35" s="54"/>
      <c r="F35" s="55"/>
    </row>
    <row r="38" spans="1:6" x14ac:dyDescent="0.15">
      <c r="A38" s="30" t="s">
        <v>148</v>
      </c>
    </row>
    <row r="39" spans="1:6" x14ac:dyDescent="0.15">
      <c r="B39" s="2" t="s">
        <v>149</v>
      </c>
    </row>
    <row r="40" spans="1:6" ht="12.75" x14ac:dyDescent="0.2">
      <c r="B40" s="336" t="s">
        <v>434</v>
      </c>
    </row>
    <row r="41" spans="1:6" ht="42" x14ac:dyDescent="0.15">
      <c r="C41" s="56" t="s">
        <v>268</v>
      </c>
      <c r="D41" s="57" t="s">
        <v>236</v>
      </c>
      <c r="E41" s="58" t="s">
        <v>269</v>
      </c>
    </row>
    <row r="42" spans="1:6" x14ac:dyDescent="0.15">
      <c r="C42" s="59">
        <v>2009</v>
      </c>
      <c r="D42" s="349">
        <v>0</v>
      </c>
      <c r="E42" s="60">
        <v>1643</v>
      </c>
    </row>
    <row r="43" spans="1:6" x14ac:dyDescent="0.15">
      <c r="C43" s="59">
        <v>2010</v>
      </c>
      <c r="D43" s="349">
        <v>2.8</v>
      </c>
      <c r="E43" s="61">
        <f>ROUND(E42*(D43+100)/100,2)</f>
        <v>1689</v>
      </c>
    </row>
    <row r="44" spans="1:6" x14ac:dyDescent="0.15">
      <c r="C44" s="59">
        <v>2011</v>
      </c>
      <c r="D44" s="349">
        <v>1.1000000000000001</v>
      </c>
      <c r="E44" s="61">
        <f t="shared" ref="E44:E51" si="2">ROUND(E43*(D44+100)/100,2)</f>
        <v>1707.58</v>
      </c>
    </row>
    <row r="45" spans="1:6" x14ac:dyDescent="0.15">
      <c r="C45" s="59">
        <v>2012</v>
      </c>
      <c r="D45" s="349">
        <v>2.2999999999999998</v>
      </c>
      <c r="E45" s="61">
        <f t="shared" si="2"/>
        <v>1746.85</v>
      </c>
    </row>
    <row r="46" spans="1:6" x14ac:dyDescent="0.15">
      <c r="C46" s="59">
        <v>2013</v>
      </c>
      <c r="D46" s="349">
        <v>0.9</v>
      </c>
      <c r="E46" s="61">
        <f t="shared" si="2"/>
        <v>1762.57</v>
      </c>
    </row>
    <row r="47" spans="1:6" x14ac:dyDescent="0.15">
      <c r="C47" s="59">
        <v>2014</v>
      </c>
      <c r="D47" s="349">
        <v>1.3</v>
      </c>
      <c r="E47" s="61">
        <f t="shared" si="2"/>
        <v>1785.48</v>
      </c>
    </row>
    <row r="48" spans="1:6" x14ac:dyDescent="0.15">
      <c r="C48" s="59">
        <v>2015</v>
      </c>
      <c r="D48" s="349">
        <v>1.3</v>
      </c>
      <c r="E48" s="61">
        <f t="shared" si="2"/>
        <v>1808.69</v>
      </c>
    </row>
    <row r="49" spans="3:5" x14ac:dyDescent="0.15">
      <c r="C49" s="59">
        <v>2016</v>
      </c>
      <c r="D49" s="349">
        <v>1.5</v>
      </c>
      <c r="E49" s="61">
        <f t="shared" si="2"/>
        <v>1835.82</v>
      </c>
    </row>
    <row r="50" spans="3:5" x14ac:dyDescent="0.15">
      <c r="C50" s="59">
        <v>2017</v>
      </c>
      <c r="D50" s="349">
        <v>2</v>
      </c>
      <c r="E50" s="61">
        <f t="shared" si="2"/>
        <v>1872.54</v>
      </c>
    </row>
    <row r="51" spans="3:5" x14ac:dyDescent="0.15">
      <c r="C51" s="59">
        <v>2018</v>
      </c>
      <c r="D51" s="349">
        <v>1.3</v>
      </c>
      <c r="E51" s="61">
        <f t="shared" si="2"/>
        <v>1896.88</v>
      </c>
    </row>
    <row r="52" spans="3:5" x14ac:dyDescent="0.15">
      <c r="C52" s="59">
        <v>2019</v>
      </c>
      <c r="D52" s="349">
        <v>1.6</v>
      </c>
      <c r="E52" s="61">
        <f>ROUND(E51*(D52+100)/100,2)</f>
        <v>1927.23</v>
      </c>
    </row>
    <row r="53" spans="3:5" x14ac:dyDescent="0.15">
      <c r="C53" s="302">
        <v>2020</v>
      </c>
      <c r="D53" s="346">
        <v>2.1</v>
      </c>
      <c r="E53" s="303">
        <f t="shared" ref="E53" si="3">ROUND(E52*(D53+100)/100,2)</f>
        <v>1967.7</v>
      </c>
    </row>
    <row r="54" spans="3:5" x14ac:dyDescent="0.15">
      <c r="C54" s="308">
        <v>2021</v>
      </c>
      <c r="D54" s="350">
        <v>1.6</v>
      </c>
      <c r="E54" s="309">
        <f>ROUND(E53*(D54+100)/100,2)</f>
        <v>1999.18</v>
      </c>
    </row>
    <row r="55" spans="3:5" x14ac:dyDescent="0.15">
      <c r="C55" s="347">
        <v>2022</v>
      </c>
      <c r="D55" s="346">
        <v>2</v>
      </c>
      <c r="E55" s="348">
        <f>ROUND(E54*(D55+100)/100,2)</f>
        <v>2039.16</v>
      </c>
    </row>
  </sheetData>
  <sheetProtection algorithmName="SHA-512" hashValue="1fW5spAhz3Rth+Vyl/gm/ynctdaK70+Zr7mCt+yf8G4UrHwbNuJljevtQaw/evNgpNwb2MPl1PBawmsVaVnS8Q==" saltValue="RZvBJbL4FRzeKt+9ngD+0w==" spinCount="100000" sheet="1" objects="1" scenarios="1"/>
  <mergeCells count="7">
    <mergeCell ref="A3:F3"/>
    <mergeCell ref="A4:F4"/>
    <mergeCell ref="A29:F29"/>
    <mergeCell ref="B14:F14"/>
    <mergeCell ref="B15:F15"/>
    <mergeCell ref="B19:F19"/>
    <mergeCell ref="C16:F16"/>
  </mergeCells>
  <dataValidations count="2">
    <dataValidation type="list" allowBlank="1" showInputMessage="1" showErrorMessage="1" sqref="C8" xr:uid="{00000000-0002-0000-0000-000000000000}">
      <formula1>"BPA-HHOK, SOSU-OK"</formula1>
    </dataValidation>
    <dataValidation allowBlank="1" showInputMessage="1" showErrorMessage="1" promptTitle="Overhead" prompt="Indsæt overheadprocent fra administrationsbidrags beregner" sqref="D9" xr:uid="{00000000-0002-0000-0000-000001000000}"/>
  </dataValidations>
  <hyperlinks>
    <hyperlink ref="B16" r:id="rId1" xr:uid="{00000000-0004-0000-0000-000000000000}"/>
    <hyperlink ref="B40" r:id="rId2" xr:uid="{00000000-0004-0000-0000-000001000000}"/>
  </hyperlinks>
  <pageMargins left="0.7" right="0.7" top="0.75" bottom="0.75" header="0.3" footer="0.3"/>
  <pageSetup paperSize="8" fitToHeight="0" orientation="portrait"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11"/>
  <sheetViews>
    <sheetView workbookViewId="0"/>
  </sheetViews>
  <sheetFormatPr defaultColWidth="9.33203125" defaultRowHeight="10.5" outlineLevelCol="1" x14ac:dyDescent="0.15"/>
  <cols>
    <col min="1" max="1" width="33" style="2" customWidth="1"/>
    <col min="2" max="2" width="13.6640625" style="2" customWidth="1"/>
    <col min="3" max="3" width="13.5" style="2" customWidth="1"/>
    <col min="4" max="5" width="10.5" style="2" customWidth="1"/>
    <col min="6" max="6" width="13.1640625" style="2" customWidth="1"/>
    <col min="7" max="7" width="8" style="2" customWidth="1"/>
    <col min="8" max="8" width="25.83203125" style="2" customWidth="1"/>
    <col min="9" max="10" width="12.6640625" style="2" customWidth="1"/>
    <col min="11" max="15" width="9.33203125" style="2"/>
    <col min="16" max="16" width="20.33203125" style="2" hidden="1" customWidth="1" outlineLevel="1"/>
    <col min="17" max="18" width="0" style="2" hidden="1" customWidth="1" outlineLevel="1"/>
    <col min="19" max="19" width="9.33203125" style="2" collapsed="1"/>
    <col min="20" max="16384" width="9.33203125" style="2"/>
  </cols>
  <sheetData>
    <row r="1" spans="1:17" ht="19.5" x14ac:dyDescent="0.25">
      <c r="A1" s="1" t="s">
        <v>266</v>
      </c>
    </row>
    <row r="2" spans="1:17" ht="12.75" customHeight="1" thickBot="1" x14ac:dyDescent="0.3">
      <c r="A2" s="1"/>
    </row>
    <row r="3" spans="1:17" ht="16.5" thickTop="1" thickBot="1" x14ac:dyDescent="0.3">
      <c r="H3" s="367" t="s">
        <v>270</v>
      </c>
      <c r="I3" s="368"/>
      <c r="J3" s="369"/>
    </row>
    <row r="4" spans="1:17" ht="15.75" thickTop="1" x14ac:dyDescent="0.2">
      <c r="A4" s="64" t="s">
        <v>217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7" x14ac:dyDescent="0.15">
      <c r="P5" s="2" t="s">
        <v>317</v>
      </c>
      <c r="Q5" s="2" t="s">
        <v>318</v>
      </c>
    </row>
    <row r="6" spans="1:17" x14ac:dyDescent="0.15">
      <c r="A6" s="377" t="s">
        <v>420</v>
      </c>
      <c r="B6" s="377"/>
      <c r="C6" s="377"/>
      <c r="D6" s="377"/>
      <c r="P6" s="2" t="s">
        <v>319</v>
      </c>
      <c r="Q6" s="2">
        <v>4</v>
      </c>
    </row>
    <row r="7" spans="1:17" ht="13.5" customHeight="1" thickBot="1" x14ac:dyDescent="0.2">
      <c r="P7" s="2" t="s">
        <v>320</v>
      </c>
      <c r="Q7" s="2">
        <v>3</v>
      </c>
    </row>
    <row r="8" spans="1:17" ht="13.5" customHeight="1" thickBot="1" x14ac:dyDescent="0.2">
      <c r="A8" s="327" t="s">
        <v>424</v>
      </c>
      <c r="B8" s="345">
        <v>44470</v>
      </c>
      <c r="C8" s="380" t="s">
        <v>425</v>
      </c>
      <c r="D8" s="380"/>
      <c r="E8" s="380"/>
      <c r="F8" s="380"/>
      <c r="G8" s="381"/>
      <c r="P8" s="2" t="s">
        <v>321</v>
      </c>
      <c r="Q8" s="2">
        <v>0</v>
      </c>
    </row>
    <row r="9" spans="1:17" ht="11.25" thickBot="1" x14ac:dyDescent="0.2">
      <c r="A9" s="328"/>
      <c r="B9" s="329" t="s">
        <v>421</v>
      </c>
      <c r="C9" s="323">
        <v>0</v>
      </c>
      <c r="D9" s="323">
        <v>1</v>
      </c>
      <c r="E9" s="323">
        <v>2</v>
      </c>
      <c r="F9" s="323">
        <v>3</v>
      </c>
      <c r="G9" s="324">
        <v>4</v>
      </c>
      <c r="P9" s="2" t="s">
        <v>322</v>
      </c>
      <c r="Q9" s="2">
        <v>4</v>
      </c>
    </row>
    <row r="10" spans="1:17" x14ac:dyDescent="0.15">
      <c r="A10" s="67" t="s">
        <v>422</v>
      </c>
      <c r="B10" s="341">
        <v>11</v>
      </c>
      <c r="C10" s="322">
        <v>132.19113965280667</v>
      </c>
      <c r="D10" s="322">
        <v>134.21113965280668</v>
      </c>
      <c r="E10" s="322">
        <v>135.60113965280667</v>
      </c>
      <c r="F10" s="322">
        <v>137.62113965280668</v>
      </c>
      <c r="G10" s="321">
        <v>139.01113965280666</v>
      </c>
      <c r="P10" s="2" t="s">
        <v>323</v>
      </c>
      <c r="Q10" s="2">
        <v>0</v>
      </c>
    </row>
    <row r="11" spans="1:17" ht="21" x14ac:dyDescent="0.15">
      <c r="A11" s="67" t="s">
        <v>423</v>
      </c>
      <c r="B11" s="341">
        <v>12</v>
      </c>
      <c r="C11" s="322">
        <v>134.44113965280667</v>
      </c>
      <c r="D11" s="322">
        <v>136.50113965280667</v>
      </c>
      <c r="E11" s="322">
        <v>137.93113965280668</v>
      </c>
      <c r="F11" s="322">
        <v>140.00113965280667</v>
      </c>
      <c r="G11" s="321">
        <v>141.42113965280666</v>
      </c>
      <c r="P11" s="2" t="s">
        <v>324</v>
      </c>
      <c r="Q11" s="2">
        <v>0</v>
      </c>
    </row>
    <row r="12" spans="1:17" x14ac:dyDescent="0.15">
      <c r="A12" s="67"/>
      <c r="B12" s="341">
        <v>13</v>
      </c>
      <c r="C12" s="322">
        <v>135.9</v>
      </c>
      <c r="D12" s="322">
        <v>138.01</v>
      </c>
      <c r="E12" s="322">
        <v>139.47999999999999</v>
      </c>
      <c r="F12" s="322">
        <v>141.6</v>
      </c>
      <c r="G12" s="321">
        <v>143.06</v>
      </c>
      <c r="P12" s="2" t="s">
        <v>325</v>
      </c>
      <c r="Q12" s="2">
        <v>4</v>
      </c>
    </row>
    <row r="13" spans="1:17" x14ac:dyDescent="0.15">
      <c r="A13" s="67"/>
      <c r="B13" s="341">
        <v>14</v>
      </c>
      <c r="C13" s="322">
        <v>138.27000000000001</v>
      </c>
      <c r="D13" s="322">
        <v>140.44</v>
      </c>
      <c r="E13" s="322">
        <v>141.94</v>
      </c>
      <c r="F13" s="322">
        <v>144.11000000000001</v>
      </c>
      <c r="G13" s="321">
        <v>145.61000000000001</v>
      </c>
      <c r="P13" s="2" t="s">
        <v>326</v>
      </c>
      <c r="Q13" s="2">
        <v>0</v>
      </c>
    </row>
    <row r="14" spans="1:17" x14ac:dyDescent="0.15">
      <c r="A14" s="67"/>
      <c r="B14" s="341">
        <v>15</v>
      </c>
      <c r="C14" s="322">
        <v>140.61000000000001</v>
      </c>
      <c r="D14" s="322">
        <v>142.84</v>
      </c>
      <c r="E14" s="322">
        <v>144.38</v>
      </c>
      <c r="F14" s="322">
        <v>146.6</v>
      </c>
      <c r="G14" s="321">
        <v>148.13999999999999</v>
      </c>
      <c r="P14" s="2" t="s">
        <v>327</v>
      </c>
      <c r="Q14" s="2">
        <v>0</v>
      </c>
    </row>
    <row r="15" spans="1:17" x14ac:dyDescent="0.15">
      <c r="A15" s="67"/>
      <c r="B15" s="341">
        <v>16</v>
      </c>
      <c r="C15" s="322">
        <v>143.01</v>
      </c>
      <c r="D15" s="322">
        <v>145.29</v>
      </c>
      <c r="E15" s="322">
        <v>146.87</v>
      </c>
      <c r="F15" s="322">
        <v>149.15</v>
      </c>
      <c r="G15" s="321">
        <v>150.72999999999999</v>
      </c>
      <c r="P15" s="2" t="s">
        <v>328</v>
      </c>
      <c r="Q15" s="2">
        <v>4</v>
      </c>
    </row>
    <row r="16" spans="1:17" x14ac:dyDescent="0.15">
      <c r="A16" s="67"/>
      <c r="B16" s="341">
        <v>17</v>
      </c>
      <c r="C16" s="322">
        <v>145</v>
      </c>
      <c r="D16" s="322">
        <v>147.35</v>
      </c>
      <c r="E16" s="322">
        <v>148.97999999999999</v>
      </c>
      <c r="F16" s="322">
        <v>151.33000000000001</v>
      </c>
      <c r="G16" s="321">
        <v>152.94999999999999</v>
      </c>
      <c r="P16" s="2" t="s">
        <v>329</v>
      </c>
      <c r="Q16" s="2">
        <v>4</v>
      </c>
    </row>
    <row r="17" spans="1:18" x14ac:dyDescent="0.15">
      <c r="A17" s="67" t="s">
        <v>426</v>
      </c>
      <c r="B17" s="341">
        <v>18</v>
      </c>
      <c r="C17" s="322">
        <v>147.66</v>
      </c>
      <c r="D17" s="322">
        <v>150.07</v>
      </c>
      <c r="E17" s="322">
        <v>151.74</v>
      </c>
      <c r="F17" s="322">
        <v>154.15</v>
      </c>
      <c r="G17" s="321">
        <v>155.81</v>
      </c>
      <c r="P17" s="2" t="s">
        <v>330</v>
      </c>
      <c r="Q17" s="2">
        <v>1</v>
      </c>
    </row>
    <row r="18" spans="1:18" x14ac:dyDescent="0.15">
      <c r="A18" s="67"/>
      <c r="B18" s="341">
        <v>19</v>
      </c>
      <c r="C18" s="322">
        <v>149.65</v>
      </c>
      <c r="D18" s="322">
        <v>152.12</v>
      </c>
      <c r="E18" s="322">
        <v>153.83000000000001</v>
      </c>
      <c r="F18" s="322">
        <v>156.30000000000001</v>
      </c>
      <c r="G18" s="321">
        <v>158.01</v>
      </c>
      <c r="P18" s="2" t="s">
        <v>331</v>
      </c>
      <c r="Q18" s="2">
        <v>1</v>
      </c>
      <c r="R18" s="2" t="s">
        <v>332</v>
      </c>
    </row>
    <row r="19" spans="1:18" ht="21" x14ac:dyDescent="0.15">
      <c r="A19" s="67" t="s">
        <v>427</v>
      </c>
      <c r="B19" s="341">
        <v>20</v>
      </c>
      <c r="C19" s="322">
        <v>151.41999999999999</v>
      </c>
      <c r="D19" s="322">
        <v>153.96</v>
      </c>
      <c r="E19" s="322">
        <v>155.71</v>
      </c>
      <c r="F19" s="322">
        <v>158.25</v>
      </c>
      <c r="G19" s="321">
        <v>160</v>
      </c>
      <c r="P19" s="2" t="s">
        <v>333</v>
      </c>
      <c r="Q19" s="2">
        <v>0</v>
      </c>
    </row>
    <row r="20" spans="1:18" x14ac:dyDescent="0.15">
      <c r="A20" s="67"/>
      <c r="B20" s="341">
        <v>21</v>
      </c>
      <c r="C20" s="322">
        <v>153.94</v>
      </c>
      <c r="D20" s="322">
        <v>156.53</v>
      </c>
      <c r="E20" s="322">
        <v>158.33000000000001</v>
      </c>
      <c r="F20" s="322">
        <v>160.93</v>
      </c>
      <c r="G20" s="321">
        <v>162.72999999999999</v>
      </c>
      <c r="P20" s="2" t="s">
        <v>334</v>
      </c>
      <c r="Q20" s="2">
        <v>0</v>
      </c>
    </row>
    <row r="21" spans="1:18" x14ac:dyDescent="0.15">
      <c r="A21" s="67" t="s">
        <v>428</v>
      </c>
      <c r="B21" s="341">
        <v>22</v>
      </c>
      <c r="C21" s="322">
        <v>156.27000000000001</v>
      </c>
      <c r="D21" s="322">
        <v>158.86000000000001</v>
      </c>
      <c r="E21" s="322">
        <v>160.66</v>
      </c>
      <c r="F21" s="322">
        <v>163.26</v>
      </c>
      <c r="G21" s="321">
        <v>165.06</v>
      </c>
      <c r="P21" s="2" t="s">
        <v>335</v>
      </c>
      <c r="Q21" s="2">
        <v>3</v>
      </c>
    </row>
    <row r="22" spans="1:18" x14ac:dyDescent="0.15">
      <c r="A22" s="67"/>
      <c r="B22" s="341">
        <v>23</v>
      </c>
      <c r="C22" s="322">
        <v>158.76</v>
      </c>
      <c r="D22" s="322">
        <v>161.29</v>
      </c>
      <c r="E22" s="322">
        <v>163.03</v>
      </c>
      <c r="F22" s="322">
        <v>165.56</v>
      </c>
      <c r="G22" s="321">
        <v>167.31</v>
      </c>
      <c r="P22" s="2" t="s">
        <v>336</v>
      </c>
      <c r="Q22" s="2">
        <v>0</v>
      </c>
    </row>
    <row r="23" spans="1:18" x14ac:dyDescent="0.15">
      <c r="A23" s="67"/>
      <c r="B23" s="341">
        <v>24</v>
      </c>
      <c r="C23" s="322">
        <v>161.33000000000001</v>
      </c>
      <c r="D23" s="322">
        <v>163.78</v>
      </c>
      <c r="E23" s="322">
        <v>165.48</v>
      </c>
      <c r="F23" s="322">
        <v>167.94</v>
      </c>
      <c r="G23" s="321">
        <v>169.64</v>
      </c>
      <c r="P23" s="2" t="s">
        <v>337</v>
      </c>
      <c r="Q23" s="2">
        <v>4</v>
      </c>
    </row>
    <row r="24" spans="1:18" x14ac:dyDescent="0.15">
      <c r="A24" s="67"/>
      <c r="B24" s="341">
        <v>25</v>
      </c>
      <c r="C24" s="322">
        <v>163.95</v>
      </c>
      <c r="D24" s="322">
        <v>166.33</v>
      </c>
      <c r="E24" s="322">
        <v>167.98</v>
      </c>
      <c r="F24" s="322">
        <v>170.36</v>
      </c>
      <c r="G24" s="321">
        <v>172.01</v>
      </c>
      <c r="P24" s="2" t="s">
        <v>338</v>
      </c>
      <c r="Q24" s="2">
        <v>1</v>
      </c>
    </row>
    <row r="25" spans="1:18" ht="21" x14ac:dyDescent="0.15">
      <c r="A25" s="67" t="s">
        <v>429</v>
      </c>
      <c r="B25" s="341">
        <v>26</v>
      </c>
      <c r="C25" s="322">
        <v>166.64</v>
      </c>
      <c r="D25" s="322">
        <v>168.94</v>
      </c>
      <c r="E25" s="322">
        <v>170.53</v>
      </c>
      <c r="F25" s="322">
        <v>172.82</v>
      </c>
      <c r="G25" s="321">
        <v>174.41</v>
      </c>
      <c r="P25" s="2" t="s">
        <v>339</v>
      </c>
      <c r="Q25" s="2">
        <v>3</v>
      </c>
    </row>
    <row r="26" spans="1:18" x14ac:dyDescent="0.15">
      <c r="A26" s="67"/>
      <c r="B26" s="341">
        <v>27</v>
      </c>
      <c r="C26" s="322">
        <v>169.39</v>
      </c>
      <c r="D26" s="322">
        <v>171.6</v>
      </c>
      <c r="E26" s="322">
        <v>173.13</v>
      </c>
      <c r="F26" s="322">
        <v>175.33</v>
      </c>
      <c r="G26" s="321">
        <v>176.86</v>
      </c>
      <c r="P26" s="2" t="s">
        <v>340</v>
      </c>
      <c r="Q26" s="2">
        <v>4</v>
      </c>
    </row>
    <row r="27" spans="1:18" x14ac:dyDescent="0.15">
      <c r="A27" s="67"/>
      <c r="B27" s="341">
        <v>28</v>
      </c>
      <c r="C27" s="322">
        <v>172.2</v>
      </c>
      <c r="D27" s="322">
        <v>174.31</v>
      </c>
      <c r="E27" s="322">
        <v>175.77</v>
      </c>
      <c r="F27" s="322">
        <v>177.89</v>
      </c>
      <c r="G27" s="321">
        <v>179.35</v>
      </c>
      <c r="P27" s="2" t="s">
        <v>341</v>
      </c>
      <c r="Q27" s="2">
        <v>1</v>
      </c>
    </row>
    <row r="28" spans="1:18" x14ac:dyDescent="0.15">
      <c r="A28" s="67"/>
      <c r="B28" s="341">
        <v>29</v>
      </c>
      <c r="C28" s="322">
        <v>175.07</v>
      </c>
      <c r="D28" s="322">
        <v>177.08</v>
      </c>
      <c r="E28" s="322">
        <v>178.48</v>
      </c>
      <c r="F28" s="322">
        <v>180.49</v>
      </c>
      <c r="G28" s="321">
        <v>181.89</v>
      </c>
      <c r="P28" s="2" t="s">
        <v>342</v>
      </c>
      <c r="Q28" s="2">
        <v>4</v>
      </c>
    </row>
    <row r="29" spans="1:18" ht="21" x14ac:dyDescent="0.15">
      <c r="A29" s="67" t="s">
        <v>430</v>
      </c>
      <c r="B29" s="341">
        <v>30</v>
      </c>
      <c r="C29" s="322">
        <v>178</v>
      </c>
      <c r="D29" s="322">
        <v>179.91</v>
      </c>
      <c r="E29" s="322">
        <v>181.23</v>
      </c>
      <c r="F29" s="322">
        <v>183.14</v>
      </c>
      <c r="G29" s="321">
        <v>184.46</v>
      </c>
      <c r="P29" s="2" t="s">
        <v>343</v>
      </c>
      <c r="Q29" s="2">
        <v>4</v>
      </c>
    </row>
    <row r="30" spans="1:18" x14ac:dyDescent="0.15">
      <c r="A30" s="67"/>
      <c r="B30" s="341">
        <v>31</v>
      </c>
      <c r="C30" s="322">
        <v>181</v>
      </c>
      <c r="D30" s="322">
        <v>182.8</v>
      </c>
      <c r="E30" s="322">
        <v>184.04</v>
      </c>
      <c r="F30" s="322">
        <v>185.83</v>
      </c>
      <c r="G30" s="321">
        <v>187.07</v>
      </c>
      <c r="P30" s="2" t="s">
        <v>344</v>
      </c>
      <c r="Q30" s="2">
        <v>4</v>
      </c>
    </row>
    <row r="31" spans="1:18" x14ac:dyDescent="0.15">
      <c r="A31" s="67"/>
      <c r="B31" s="341">
        <v>32</v>
      </c>
      <c r="C31" s="322">
        <v>184.07</v>
      </c>
      <c r="D31" s="322">
        <v>185.74</v>
      </c>
      <c r="E31" s="322">
        <v>186.9</v>
      </c>
      <c r="F31" s="322">
        <v>188.57</v>
      </c>
      <c r="G31" s="321">
        <v>189.73</v>
      </c>
      <c r="P31" s="2" t="s">
        <v>345</v>
      </c>
      <c r="Q31" s="2">
        <v>4</v>
      </c>
    </row>
    <row r="32" spans="1:18" x14ac:dyDescent="0.15">
      <c r="A32" s="67"/>
      <c r="B32" s="341">
        <v>33</v>
      </c>
      <c r="C32" s="322">
        <v>187.2</v>
      </c>
      <c r="D32" s="322">
        <v>188.75</v>
      </c>
      <c r="E32" s="322">
        <v>189.82</v>
      </c>
      <c r="F32" s="322">
        <v>191.36</v>
      </c>
      <c r="G32" s="321">
        <v>192.43</v>
      </c>
      <c r="P32" s="2" t="s">
        <v>346</v>
      </c>
      <c r="Q32" s="2">
        <v>3</v>
      </c>
    </row>
    <row r="33" spans="1:17" ht="11.25" thickBot="1" x14ac:dyDescent="0.2">
      <c r="A33" s="69"/>
      <c r="B33" s="342">
        <v>34</v>
      </c>
      <c r="C33" s="325">
        <v>190.41</v>
      </c>
      <c r="D33" s="325">
        <v>191.82</v>
      </c>
      <c r="E33" s="325">
        <v>192.79</v>
      </c>
      <c r="F33" s="325">
        <v>194.2</v>
      </c>
      <c r="G33" s="326">
        <v>195.18</v>
      </c>
      <c r="P33" s="2" t="s">
        <v>347</v>
      </c>
      <c r="Q33" s="2">
        <v>0</v>
      </c>
    </row>
    <row r="34" spans="1:17" x14ac:dyDescent="0.15">
      <c r="P34" s="2" t="s">
        <v>348</v>
      </c>
      <c r="Q34" s="2">
        <v>0</v>
      </c>
    </row>
    <row r="35" spans="1:17" x14ac:dyDescent="0.15">
      <c r="P35" s="2" t="s">
        <v>349</v>
      </c>
      <c r="Q35" s="2">
        <v>3</v>
      </c>
    </row>
    <row r="36" spans="1:17" x14ac:dyDescent="0.15">
      <c r="A36" s="377" t="s">
        <v>299</v>
      </c>
      <c r="B36" s="377"/>
      <c r="C36" s="377"/>
      <c r="D36" s="377"/>
      <c r="H36" s="378" t="s">
        <v>221</v>
      </c>
      <c r="I36" s="378"/>
      <c r="J36" s="378"/>
      <c r="K36" s="378"/>
      <c r="P36" s="2" t="s">
        <v>350</v>
      </c>
      <c r="Q36" s="2">
        <v>0</v>
      </c>
    </row>
    <row r="37" spans="1:17" x14ac:dyDescent="0.15">
      <c r="P37" s="2" t="s">
        <v>351</v>
      </c>
      <c r="Q37" s="2">
        <v>3</v>
      </c>
    </row>
    <row r="38" spans="1:17" ht="11.25" thickBot="1" x14ac:dyDescent="0.2">
      <c r="P38" s="2" t="s">
        <v>352</v>
      </c>
      <c r="Q38" s="2">
        <v>4</v>
      </c>
    </row>
    <row r="39" spans="1:17" ht="11.25" thickBot="1" x14ac:dyDescent="0.2">
      <c r="A39" s="65" t="s">
        <v>208</v>
      </c>
      <c r="B39" s="66" t="s">
        <v>201</v>
      </c>
      <c r="H39" s="65" t="s">
        <v>208</v>
      </c>
      <c r="I39" s="66" t="s">
        <v>201</v>
      </c>
      <c r="P39" s="2" t="s">
        <v>353</v>
      </c>
      <c r="Q39" s="2">
        <v>0</v>
      </c>
    </row>
    <row r="40" spans="1:17" x14ac:dyDescent="0.15">
      <c r="A40" s="67" t="s">
        <v>195</v>
      </c>
      <c r="B40" s="68">
        <v>0.3</v>
      </c>
      <c r="H40" s="67" t="s">
        <v>195</v>
      </c>
      <c r="I40" s="68">
        <v>0.3</v>
      </c>
      <c r="P40" s="2" t="s">
        <v>354</v>
      </c>
      <c r="Q40" s="2">
        <v>3</v>
      </c>
    </row>
    <row r="41" spans="1:17" x14ac:dyDescent="0.15">
      <c r="A41" s="67" t="s">
        <v>196</v>
      </c>
      <c r="B41" s="68">
        <v>0.35</v>
      </c>
      <c r="H41" s="67" t="s">
        <v>196</v>
      </c>
      <c r="I41" s="68">
        <v>0.35</v>
      </c>
      <c r="P41" s="2" t="s">
        <v>355</v>
      </c>
      <c r="Q41" s="2">
        <v>0</v>
      </c>
    </row>
    <row r="42" spans="1:17" x14ac:dyDescent="0.15">
      <c r="A42" s="67" t="s">
        <v>197</v>
      </c>
      <c r="B42" s="68">
        <v>0.3</v>
      </c>
      <c r="H42" s="67" t="s">
        <v>197</v>
      </c>
      <c r="I42" s="68">
        <v>0.3</v>
      </c>
      <c r="P42" s="2" t="s">
        <v>356</v>
      </c>
      <c r="Q42" s="2">
        <v>0</v>
      </c>
    </row>
    <row r="43" spans="1:17" x14ac:dyDescent="0.15">
      <c r="A43" s="67" t="s">
        <v>198</v>
      </c>
      <c r="B43" s="68">
        <v>0.5</v>
      </c>
      <c r="H43" s="67" t="s">
        <v>198</v>
      </c>
      <c r="I43" s="68">
        <v>0.5</v>
      </c>
      <c r="P43" s="2" t="s">
        <v>357</v>
      </c>
      <c r="Q43" s="2">
        <v>0</v>
      </c>
    </row>
    <row r="44" spans="1:17" x14ac:dyDescent="0.15">
      <c r="A44" s="67" t="s">
        <v>199</v>
      </c>
      <c r="B44" s="68">
        <v>0.5</v>
      </c>
      <c r="H44" s="67" t="s">
        <v>199</v>
      </c>
      <c r="I44" s="68">
        <v>0.5</v>
      </c>
      <c r="P44" s="2" t="s">
        <v>358</v>
      </c>
      <c r="Q44" s="2">
        <v>0</v>
      </c>
    </row>
    <row r="45" spans="1:17" ht="11.25" thickBot="1" x14ac:dyDescent="0.2">
      <c r="A45" s="69" t="s">
        <v>200</v>
      </c>
      <c r="B45" s="70">
        <v>0.75</v>
      </c>
      <c r="H45" s="69" t="s">
        <v>200</v>
      </c>
      <c r="I45" s="70">
        <v>0.75</v>
      </c>
      <c r="P45" s="2" t="s">
        <v>359</v>
      </c>
      <c r="Q45" s="2">
        <v>4</v>
      </c>
    </row>
    <row r="46" spans="1:17" ht="11.25" thickBot="1" x14ac:dyDescent="0.2">
      <c r="P46" s="2" t="s">
        <v>360</v>
      </c>
      <c r="Q46" s="2">
        <v>4</v>
      </c>
    </row>
    <row r="47" spans="1:17" ht="11.25" thickBot="1" x14ac:dyDescent="0.2">
      <c r="A47" s="65" t="s">
        <v>206</v>
      </c>
      <c r="B47" s="66" t="s">
        <v>161</v>
      </c>
      <c r="H47" s="65" t="s">
        <v>206</v>
      </c>
      <c r="I47" s="66" t="s">
        <v>161</v>
      </c>
      <c r="P47" s="2" t="s">
        <v>361</v>
      </c>
      <c r="Q47" s="2">
        <v>3</v>
      </c>
    </row>
    <row r="48" spans="1:17" x14ac:dyDescent="0.15">
      <c r="A48" s="67" t="s">
        <v>35</v>
      </c>
      <c r="B48" s="68">
        <v>0.125</v>
      </c>
      <c r="H48" s="67" t="s">
        <v>35</v>
      </c>
      <c r="I48" s="68">
        <v>0.125</v>
      </c>
      <c r="P48" s="2" t="s">
        <v>362</v>
      </c>
      <c r="Q48" s="2">
        <v>0</v>
      </c>
    </row>
    <row r="49" spans="1:17" ht="11.25" thickBot="1" x14ac:dyDescent="0.2">
      <c r="A49" s="69" t="s">
        <v>37</v>
      </c>
      <c r="B49" s="70">
        <v>2.2499999999999999E-2</v>
      </c>
      <c r="H49" s="69" t="s">
        <v>37</v>
      </c>
      <c r="I49" s="70">
        <v>2.5000000000000001E-2</v>
      </c>
      <c r="P49" s="2" t="s">
        <v>363</v>
      </c>
      <c r="Q49" s="2">
        <v>4</v>
      </c>
    </row>
    <row r="50" spans="1:17" ht="11.25" thickBot="1" x14ac:dyDescent="0.2">
      <c r="P50" s="2" t="s">
        <v>364</v>
      </c>
      <c r="Q50" s="2">
        <v>0</v>
      </c>
    </row>
    <row r="51" spans="1:17" ht="11.25" thickBot="1" x14ac:dyDescent="0.2">
      <c r="A51" s="65" t="s">
        <v>207</v>
      </c>
      <c r="B51" s="66" t="s">
        <v>161</v>
      </c>
      <c r="H51" s="65" t="s">
        <v>193</v>
      </c>
      <c r="I51" s="66" t="s">
        <v>161</v>
      </c>
      <c r="P51" s="2" t="s">
        <v>365</v>
      </c>
      <c r="Q51" s="2">
        <v>1</v>
      </c>
    </row>
    <row r="52" spans="1:17" x14ac:dyDescent="0.15">
      <c r="A52" s="67" t="s">
        <v>194</v>
      </c>
      <c r="B52" s="68">
        <v>0.12889999999999999</v>
      </c>
      <c r="H52" s="67" t="s">
        <v>194</v>
      </c>
      <c r="I52" s="68">
        <f>12.89%+1.29%</f>
        <v>0.14180000000000001</v>
      </c>
      <c r="J52" s="2" t="s">
        <v>218</v>
      </c>
      <c r="P52" s="2" t="s">
        <v>366</v>
      </c>
      <c r="Q52" s="2">
        <v>1</v>
      </c>
    </row>
    <row r="53" spans="1:17" ht="21" x14ac:dyDescent="0.15">
      <c r="A53" s="67" t="s">
        <v>40</v>
      </c>
      <c r="B53" s="68">
        <v>0.05</v>
      </c>
      <c r="H53" s="67" t="s">
        <v>40</v>
      </c>
      <c r="I53" s="68">
        <v>0.05</v>
      </c>
      <c r="P53" s="2" t="s">
        <v>367</v>
      </c>
      <c r="Q53" s="2">
        <v>0</v>
      </c>
    </row>
    <row r="54" spans="1:17" ht="21.75" thickBot="1" x14ac:dyDescent="0.2">
      <c r="A54" s="69" t="s">
        <v>99</v>
      </c>
      <c r="B54" s="70">
        <v>0.01</v>
      </c>
      <c r="H54" s="69" t="s">
        <v>99</v>
      </c>
      <c r="I54" s="70">
        <v>0.01</v>
      </c>
      <c r="P54" s="2" t="s">
        <v>368</v>
      </c>
      <c r="Q54" s="2">
        <v>4</v>
      </c>
    </row>
    <row r="55" spans="1:17" x14ac:dyDescent="0.15">
      <c r="P55" s="2" t="s">
        <v>369</v>
      </c>
      <c r="Q55" s="2">
        <v>2</v>
      </c>
    </row>
    <row r="56" spans="1:17" ht="11.25" thickBot="1" x14ac:dyDescent="0.2">
      <c r="P56" s="2" t="s">
        <v>370</v>
      </c>
      <c r="Q56" s="2">
        <v>0</v>
      </c>
    </row>
    <row r="57" spans="1:17" ht="11.25" thickBot="1" x14ac:dyDescent="0.2">
      <c r="A57" s="71" t="s">
        <v>204</v>
      </c>
      <c r="B57" s="72" t="s">
        <v>219</v>
      </c>
      <c r="H57" s="312" t="s">
        <v>316</v>
      </c>
      <c r="I57" s="313">
        <v>44562</v>
      </c>
      <c r="J57" s="314">
        <v>44743</v>
      </c>
      <c r="P57" s="2" t="s">
        <v>371</v>
      </c>
      <c r="Q57" s="2">
        <v>2</v>
      </c>
    </row>
    <row r="58" spans="1:17" ht="11.25" thickBot="1" x14ac:dyDescent="0.2">
      <c r="A58" s="73"/>
      <c r="B58" s="74">
        <v>0.45</v>
      </c>
      <c r="H58" s="315" t="s">
        <v>78</v>
      </c>
      <c r="I58" s="316">
        <v>41.3</v>
      </c>
      <c r="J58" s="317">
        <v>42.5</v>
      </c>
      <c r="P58" s="2" t="s">
        <v>372</v>
      </c>
      <c r="Q58" s="2">
        <v>0</v>
      </c>
    </row>
    <row r="59" spans="1:17" x14ac:dyDescent="0.15">
      <c r="G59" s="75"/>
      <c r="H59" s="315" t="s">
        <v>79</v>
      </c>
      <c r="I59" s="316"/>
      <c r="J59" s="317">
        <v>14.7</v>
      </c>
      <c r="P59" s="2" t="s">
        <v>373</v>
      </c>
      <c r="Q59" s="2">
        <v>0</v>
      </c>
    </row>
    <row r="60" spans="1:17" x14ac:dyDescent="0.15">
      <c r="H60" s="315" t="s">
        <v>435</v>
      </c>
      <c r="I60" s="316">
        <v>3.8</v>
      </c>
      <c r="J60" s="317"/>
      <c r="P60" s="2" t="s">
        <v>374</v>
      </c>
      <c r="Q60" s="2">
        <v>4</v>
      </c>
    </row>
    <row r="61" spans="1:17" ht="21" x14ac:dyDescent="0.15">
      <c r="H61" s="318" t="s">
        <v>98</v>
      </c>
      <c r="I61" s="319">
        <v>35.299999999999997</v>
      </c>
      <c r="J61" s="317"/>
      <c r="P61" s="2" t="s">
        <v>375</v>
      </c>
      <c r="Q61" s="2">
        <v>0</v>
      </c>
    </row>
    <row r="62" spans="1:17" x14ac:dyDescent="0.15">
      <c r="H62" s="318" t="s">
        <v>436</v>
      </c>
      <c r="I62" s="319">
        <v>5.6</v>
      </c>
      <c r="J62" s="317"/>
      <c r="P62" s="2" t="s">
        <v>376</v>
      </c>
      <c r="Q62" s="2">
        <v>0</v>
      </c>
    </row>
    <row r="63" spans="1:17" ht="21.75" thickBot="1" x14ac:dyDescent="0.2">
      <c r="H63" s="318" t="s">
        <v>101</v>
      </c>
      <c r="I63" s="319">
        <v>1</v>
      </c>
      <c r="J63" s="317">
        <v>1</v>
      </c>
      <c r="P63" s="2" t="s">
        <v>377</v>
      </c>
      <c r="Q63" s="2">
        <v>0</v>
      </c>
    </row>
    <row r="64" spans="1:17" ht="11.25" thickBot="1" x14ac:dyDescent="0.2">
      <c r="A64" s="370" t="s">
        <v>202</v>
      </c>
      <c r="B64" s="371"/>
      <c r="C64" s="372"/>
      <c r="D64" s="72" t="s">
        <v>161</v>
      </c>
      <c r="H64" s="320" t="s">
        <v>80</v>
      </c>
      <c r="I64" s="365">
        <f>+SUM(I58:J63)/2</f>
        <v>72.599999999999994</v>
      </c>
      <c r="J64" s="366"/>
      <c r="P64" s="2" t="s">
        <v>378</v>
      </c>
      <c r="Q64" s="2">
        <v>0</v>
      </c>
    </row>
    <row r="65" spans="1:17" ht="11.25" thickBot="1" x14ac:dyDescent="0.2">
      <c r="A65" s="78"/>
      <c r="B65" s="379" t="s">
        <v>203</v>
      </c>
      <c r="C65" s="374"/>
      <c r="D65" s="79">
        <v>0.5</v>
      </c>
      <c r="H65" s="76"/>
      <c r="I65" s="77"/>
      <c r="J65" s="77"/>
      <c r="P65" s="2" t="s">
        <v>379</v>
      </c>
      <c r="Q65" s="2">
        <v>0</v>
      </c>
    </row>
    <row r="66" spans="1:17" x14ac:dyDescent="0.15">
      <c r="P66" s="2" t="s">
        <v>380</v>
      </c>
      <c r="Q66" s="2">
        <v>0</v>
      </c>
    </row>
    <row r="67" spans="1:17" ht="11.25" thickBot="1" x14ac:dyDescent="0.2">
      <c r="P67" s="2" t="s">
        <v>381</v>
      </c>
      <c r="Q67" s="2">
        <v>1</v>
      </c>
    </row>
    <row r="68" spans="1:17" ht="11.25" thickBot="1" x14ac:dyDescent="0.2">
      <c r="A68" s="370" t="s">
        <v>213</v>
      </c>
      <c r="B68" s="371"/>
      <c r="C68" s="372"/>
      <c r="D68" s="72" t="s">
        <v>86</v>
      </c>
      <c r="P68" s="2" t="s">
        <v>382</v>
      </c>
      <c r="Q68" s="2">
        <v>1</v>
      </c>
    </row>
    <row r="69" spans="1:17" ht="11.25" thickBot="1" x14ac:dyDescent="0.2">
      <c r="A69" s="78"/>
      <c r="B69" s="379" t="s">
        <v>91</v>
      </c>
      <c r="C69" s="374"/>
      <c r="D69" s="74">
        <v>400</v>
      </c>
      <c r="P69" s="2" t="s">
        <v>383</v>
      </c>
      <c r="Q69" s="2">
        <v>0</v>
      </c>
    </row>
    <row r="70" spans="1:17" ht="11.25" thickBot="1" x14ac:dyDescent="0.2">
      <c r="H70" s="370" t="s">
        <v>213</v>
      </c>
      <c r="I70" s="371"/>
      <c r="J70" s="372"/>
      <c r="K70" s="72" t="s">
        <v>86</v>
      </c>
      <c r="P70" s="2" t="s">
        <v>384</v>
      </c>
      <c r="Q70" s="2">
        <v>1</v>
      </c>
    </row>
    <row r="71" spans="1:17" ht="11.25" thickBot="1" x14ac:dyDescent="0.2">
      <c r="H71" s="73"/>
      <c r="I71" s="373" t="s">
        <v>91</v>
      </c>
      <c r="J71" s="374"/>
      <c r="K71" s="311">
        <v>452.48</v>
      </c>
      <c r="P71" s="2" t="s">
        <v>385</v>
      </c>
      <c r="Q71" s="2">
        <v>0</v>
      </c>
    </row>
    <row r="72" spans="1:17" ht="11.25" thickBot="1" x14ac:dyDescent="0.2">
      <c r="A72" s="370" t="s">
        <v>212</v>
      </c>
      <c r="B72" s="371"/>
      <c r="C72" s="372"/>
      <c r="D72" s="72" t="s">
        <v>161</v>
      </c>
      <c r="K72" s="23"/>
      <c r="P72" s="2" t="s">
        <v>386</v>
      </c>
      <c r="Q72" s="2">
        <v>0</v>
      </c>
    </row>
    <row r="73" spans="1:17" ht="11.25" thickBot="1" x14ac:dyDescent="0.2">
      <c r="A73" s="78"/>
      <c r="B73" s="379" t="s">
        <v>216</v>
      </c>
      <c r="C73" s="374"/>
      <c r="D73" s="79">
        <v>0.5</v>
      </c>
      <c r="K73" s="23"/>
      <c r="P73" s="2" t="s">
        <v>387</v>
      </c>
      <c r="Q73" s="2">
        <v>0</v>
      </c>
    </row>
    <row r="74" spans="1:17" x14ac:dyDescent="0.15">
      <c r="A74" s="80"/>
      <c r="B74" s="81"/>
      <c r="C74" s="81"/>
      <c r="D74" s="82"/>
      <c r="K74" s="23"/>
      <c r="P74" s="2" t="s">
        <v>388</v>
      </c>
      <c r="Q74" s="2">
        <v>0</v>
      </c>
    </row>
    <row r="75" spans="1:17" x14ac:dyDescent="0.15">
      <c r="P75" s="2" t="s">
        <v>389</v>
      </c>
      <c r="Q75" s="2">
        <v>0</v>
      </c>
    </row>
    <row r="76" spans="1:17" ht="15" x14ac:dyDescent="0.2">
      <c r="A76" s="64" t="s">
        <v>220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P76" s="2" t="s">
        <v>390</v>
      </c>
      <c r="Q76" s="2">
        <v>2</v>
      </c>
    </row>
    <row r="77" spans="1:17" x14ac:dyDescent="0.15">
      <c r="P77" s="2" t="s">
        <v>391</v>
      </c>
      <c r="Q77" s="2">
        <v>4</v>
      </c>
    </row>
    <row r="78" spans="1:17" ht="11.25" thickBot="1" x14ac:dyDescent="0.2">
      <c r="A78" s="3"/>
      <c r="P78" s="2" t="s">
        <v>392</v>
      </c>
      <c r="Q78" s="2">
        <v>4</v>
      </c>
    </row>
    <row r="79" spans="1:17" ht="11.25" thickBot="1" x14ac:dyDescent="0.2">
      <c r="A79" s="65" t="s">
        <v>215</v>
      </c>
      <c r="B79" s="383" t="s">
        <v>59</v>
      </c>
      <c r="C79" s="384"/>
      <c r="D79" s="72" t="s">
        <v>54</v>
      </c>
      <c r="E79" s="83" t="s">
        <v>52</v>
      </c>
      <c r="F79" s="84" t="s">
        <v>50</v>
      </c>
      <c r="P79" s="2" t="s">
        <v>393</v>
      </c>
      <c r="Q79" s="2">
        <v>0</v>
      </c>
    </row>
    <row r="80" spans="1:17" x14ac:dyDescent="0.15">
      <c r="A80" s="85" t="s">
        <v>53</v>
      </c>
      <c r="B80" s="375" t="s">
        <v>61</v>
      </c>
      <c r="C80" s="376"/>
      <c r="D80" s="86"/>
      <c r="E80" s="86"/>
      <c r="F80" s="87">
        <f>('BPA-HHOK'!C46+'BPA-HHOK'!E46)*(365/7)+'BPA-HHOK'!D46+'BPA-HHOK'!E51*'BPA-HHOK'!F51+'BPA-HHOK'!E53*'BPA-HHOK'!F53</f>
        <v>0</v>
      </c>
      <c r="P80" s="2" t="s">
        <v>394</v>
      </c>
      <c r="Q80" s="2">
        <v>0</v>
      </c>
    </row>
    <row r="81" spans="1:17" x14ac:dyDescent="0.15">
      <c r="A81" s="88" t="s">
        <v>2</v>
      </c>
      <c r="B81" s="375" t="s">
        <v>51</v>
      </c>
      <c r="C81" s="376"/>
      <c r="D81" s="214">
        <v>189.35</v>
      </c>
      <c r="E81" s="86">
        <f>+D81*3</f>
        <v>568.04999999999995</v>
      </c>
      <c r="F81" s="89">
        <f>E81*4</f>
        <v>2272.1999999999998</v>
      </c>
      <c r="P81" s="2" t="s">
        <v>395</v>
      </c>
      <c r="Q81" s="2">
        <v>1</v>
      </c>
    </row>
    <row r="82" spans="1:17" x14ac:dyDescent="0.15">
      <c r="A82" s="88" t="s">
        <v>46</v>
      </c>
      <c r="B82" s="375" t="s">
        <v>51</v>
      </c>
      <c r="C82" s="376"/>
      <c r="D82" s="86"/>
      <c r="E82" s="214">
        <v>803.25</v>
      </c>
      <c r="F82" s="89">
        <f>E82*4</f>
        <v>3213</v>
      </c>
      <c r="P82" s="2" t="s">
        <v>396</v>
      </c>
      <c r="Q82" s="2">
        <v>0</v>
      </c>
    </row>
    <row r="83" spans="1:17" x14ac:dyDescent="0.15">
      <c r="A83" s="88" t="s">
        <v>41</v>
      </c>
      <c r="B83" s="375" t="s">
        <v>51</v>
      </c>
      <c r="C83" s="376"/>
      <c r="D83" s="86"/>
      <c r="E83" s="86"/>
      <c r="F83" s="89">
        <v>396</v>
      </c>
      <c r="P83" s="2" t="s">
        <v>397</v>
      </c>
      <c r="Q83" s="2">
        <v>1</v>
      </c>
    </row>
    <row r="84" spans="1:17" x14ac:dyDescent="0.15">
      <c r="A84" s="88" t="s">
        <v>81</v>
      </c>
      <c r="B84" s="375" t="s">
        <v>51</v>
      </c>
      <c r="C84" s="376"/>
      <c r="D84" s="86"/>
      <c r="E84" s="86">
        <v>1.75</v>
      </c>
      <c r="F84" s="89">
        <f>+E84*4</f>
        <v>7</v>
      </c>
      <c r="P84" s="2" t="s">
        <v>398</v>
      </c>
      <c r="Q84" s="2">
        <v>2</v>
      </c>
    </row>
    <row r="85" spans="1:17" x14ac:dyDescent="0.15">
      <c r="A85" s="88" t="s">
        <v>117</v>
      </c>
      <c r="B85" s="375" t="s">
        <v>51</v>
      </c>
      <c r="C85" s="376"/>
      <c r="D85" s="86"/>
      <c r="E85" s="86"/>
      <c r="F85" s="163">
        <v>295</v>
      </c>
      <c r="H85" s="75"/>
      <c r="P85" s="2" t="s">
        <v>399</v>
      </c>
      <c r="Q85" s="2">
        <v>0</v>
      </c>
    </row>
    <row r="86" spans="1:17" x14ac:dyDescent="0.15">
      <c r="A86" s="88" t="s">
        <v>56</v>
      </c>
      <c r="B86" s="375" t="s">
        <v>55</v>
      </c>
      <c r="C86" s="376"/>
      <c r="D86" s="86">
        <v>117</v>
      </c>
      <c r="E86" s="86"/>
      <c r="F86" s="89">
        <f>D86*12</f>
        <v>1404</v>
      </c>
      <c r="P86" s="2" t="s">
        <v>400</v>
      </c>
      <c r="Q86" s="2">
        <v>0</v>
      </c>
    </row>
    <row r="87" spans="1:17" x14ac:dyDescent="0.15">
      <c r="A87" s="88" t="s">
        <v>57</v>
      </c>
      <c r="B87" s="375" t="s">
        <v>60</v>
      </c>
      <c r="C87" s="376"/>
      <c r="D87" s="86"/>
      <c r="E87" s="86"/>
      <c r="F87" s="89">
        <f>F80/F86</f>
        <v>0</v>
      </c>
      <c r="P87" s="2" t="s">
        <v>401</v>
      </c>
      <c r="Q87" s="2">
        <v>0</v>
      </c>
    </row>
    <row r="88" spans="1:17" x14ac:dyDescent="0.15">
      <c r="A88" s="88" t="s">
        <v>2</v>
      </c>
      <c r="B88" s="375" t="s">
        <v>58</v>
      </c>
      <c r="C88" s="376"/>
      <c r="D88" s="86"/>
      <c r="E88" s="86"/>
      <c r="F88" s="89">
        <f>F$87*F81</f>
        <v>0</v>
      </c>
      <c r="P88" s="2" t="s">
        <v>402</v>
      </c>
      <c r="Q88" s="2">
        <v>0</v>
      </c>
    </row>
    <row r="89" spans="1:17" x14ac:dyDescent="0.15">
      <c r="A89" s="88" t="s">
        <v>46</v>
      </c>
      <c r="B89" s="375" t="s">
        <v>58</v>
      </c>
      <c r="C89" s="376"/>
      <c r="D89" s="86"/>
      <c r="E89" s="86"/>
      <c r="F89" s="89">
        <f>F$87*F82</f>
        <v>0</v>
      </c>
      <c r="P89" s="2" t="s">
        <v>403</v>
      </c>
      <c r="Q89" s="2">
        <v>0</v>
      </c>
    </row>
    <row r="90" spans="1:17" x14ac:dyDescent="0.15">
      <c r="A90" s="90" t="s">
        <v>41</v>
      </c>
      <c r="B90" s="385" t="s">
        <v>58</v>
      </c>
      <c r="C90" s="386"/>
      <c r="D90" s="91"/>
      <c r="E90" s="91"/>
      <c r="F90" s="92">
        <f>F$87*F83</f>
        <v>0</v>
      </c>
      <c r="P90" s="2" t="s">
        <v>404</v>
      </c>
      <c r="Q90" s="2">
        <v>1</v>
      </c>
    </row>
    <row r="91" spans="1:17" x14ac:dyDescent="0.15">
      <c r="A91" s="88" t="s">
        <v>81</v>
      </c>
      <c r="B91" s="375" t="s">
        <v>58</v>
      </c>
      <c r="C91" s="382"/>
      <c r="D91" s="93"/>
      <c r="E91" s="91"/>
      <c r="F91" s="92">
        <f>F$87*F84</f>
        <v>0</v>
      </c>
      <c r="P91" s="2" t="s">
        <v>405</v>
      </c>
      <c r="Q91" s="2">
        <v>0</v>
      </c>
    </row>
    <row r="92" spans="1:17" x14ac:dyDescent="0.15">
      <c r="A92" s="90" t="s">
        <v>117</v>
      </c>
      <c r="B92" s="375" t="s">
        <v>58</v>
      </c>
      <c r="C92" s="382"/>
      <c r="D92" s="93"/>
      <c r="E92" s="91"/>
      <c r="F92" s="94">
        <f>+F85*F87</f>
        <v>0</v>
      </c>
      <c r="P92" s="2" t="s">
        <v>406</v>
      </c>
      <c r="Q92" s="2">
        <v>0</v>
      </c>
    </row>
    <row r="93" spans="1:17" ht="11.25" thickBot="1" x14ac:dyDescent="0.2">
      <c r="A93" s="95" t="s">
        <v>223</v>
      </c>
      <c r="B93" s="379" t="s">
        <v>64</v>
      </c>
      <c r="C93" s="374"/>
      <c r="D93" s="79">
        <v>3.5000000000000003E-2</v>
      </c>
      <c r="E93" s="96">
        <v>3.5000000000000003E-2</v>
      </c>
      <c r="F93" s="97">
        <v>3.5000000000000003E-2</v>
      </c>
      <c r="P93" s="2" t="s">
        <v>407</v>
      </c>
      <c r="Q93" s="2">
        <v>4</v>
      </c>
    </row>
    <row r="94" spans="1:17" x14ac:dyDescent="0.15">
      <c r="A94" s="98" t="s">
        <v>222</v>
      </c>
      <c r="P94" s="2" t="s">
        <v>408</v>
      </c>
      <c r="Q94" s="2">
        <v>4</v>
      </c>
    </row>
    <row r="95" spans="1:17" ht="11.25" thickBot="1" x14ac:dyDescent="0.2">
      <c r="P95" s="2" t="s">
        <v>409</v>
      </c>
      <c r="Q95" s="2">
        <v>0</v>
      </c>
    </row>
    <row r="96" spans="1:17" ht="11.25" thickBot="1" x14ac:dyDescent="0.2">
      <c r="A96" s="65" t="s">
        <v>214</v>
      </c>
      <c r="B96" s="383" t="s">
        <v>59</v>
      </c>
      <c r="C96" s="384"/>
      <c r="D96" s="72" t="s">
        <v>86</v>
      </c>
      <c r="E96" s="84" t="s">
        <v>90</v>
      </c>
      <c r="P96" s="2" t="s">
        <v>410</v>
      </c>
      <c r="Q96" s="2">
        <v>0</v>
      </c>
    </row>
    <row r="97" spans="1:17" ht="11.25" thickBot="1" x14ac:dyDescent="0.2">
      <c r="A97" s="78">
        <v>44013</v>
      </c>
      <c r="B97" s="379" t="s">
        <v>91</v>
      </c>
      <c r="C97" s="374"/>
      <c r="D97" s="74">
        <v>1116</v>
      </c>
      <c r="E97" s="99">
        <f>+D97/$F$86</f>
        <v>0.79487179487179482</v>
      </c>
      <c r="P97" s="2" t="s">
        <v>411</v>
      </c>
      <c r="Q97" s="2">
        <v>0</v>
      </c>
    </row>
    <row r="98" spans="1:17" ht="11.25" thickBot="1" x14ac:dyDescent="0.2">
      <c r="P98" s="2" t="s">
        <v>412</v>
      </c>
      <c r="Q98" s="2">
        <v>0</v>
      </c>
    </row>
    <row r="99" spans="1:17" x14ac:dyDescent="0.15">
      <c r="A99" s="296" t="s">
        <v>280</v>
      </c>
      <c r="B99" s="383" t="s">
        <v>59</v>
      </c>
      <c r="C99" s="384"/>
      <c r="D99" s="299" t="s">
        <v>86</v>
      </c>
      <c r="P99" s="2" t="s">
        <v>413</v>
      </c>
      <c r="Q99" s="2">
        <v>0</v>
      </c>
    </row>
    <row r="100" spans="1:17" ht="11.25" thickBot="1" x14ac:dyDescent="0.2">
      <c r="A100" s="297" t="s">
        <v>296</v>
      </c>
      <c r="B100" s="379" t="s">
        <v>91</v>
      </c>
      <c r="C100" s="374"/>
      <c r="D100" s="298">
        <v>19</v>
      </c>
      <c r="P100" s="2" t="s">
        <v>414</v>
      </c>
      <c r="Q100" s="2">
        <v>0</v>
      </c>
    </row>
    <row r="101" spans="1:17" x14ac:dyDescent="0.15">
      <c r="P101" s="2" t="s">
        <v>415</v>
      </c>
      <c r="Q101" s="2">
        <v>0</v>
      </c>
    </row>
    <row r="102" spans="1:17" ht="15" x14ac:dyDescent="0.2">
      <c r="A102" s="64" t="s">
        <v>226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P102" s="2" t="s">
        <v>416</v>
      </c>
      <c r="Q102" s="2">
        <v>0</v>
      </c>
    </row>
    <row r="103" spans="1:17" x14ac:dyDescent="0.15">
      <c r="P103" s="2" t="s">
        <v>417</v>
      </c>
      <c r="Q103" s="2">
        <v>0</v>
      </c>
    </row>
    <row r="104" spans="1:17" ht="11.25" thickBot="1" x14ac:dyDescent="0.2">
      <c r="P104" s="2" t="s">
        <v>418</v>
      </c>
      <c r="Q104" s="2">
        <v>1</v>
      </c>
    </row>
    <row r="105" spans="1:17" ht="21.75" thickBot="1" x14ac:dyDescent="0.2">
      <c r="A105" s="65" t="s">
        <v>272</v>
      </c>
      <c r="B105" s="383" t="s">
        <v>187</v>
      </c>
      <c r="C105" s="384"/>
      <c r="D105" s="100" t="s">
        <v>188</v>
      </c>
      <c r="P105" s="2" t="s">
        <v>419</v>
      </c>
      <c r="Q105" s="2">
        <v>2</v>
      </c>
    </row>
    <row r="106" spans="1:17" x14ac:dyDescent="0.15">
      <c r="A106" s="101" t="s">
        <v>224</v>
      </c>
      <c r="B106" s="375" t="s">
        <v>189</v>
      </c>
      <c r="C106" s="376"/>
      <c r="D106" s="104">
        <v>0</v>
      </c>
    </row>
    <row r="107" spans="1:17" x14ac:dyDescent="0.15">
      <c r="A107" s="102" t="s">
        <v>127</v>
      </c>
      <c r="B107" s="375" t="s">
        <v>190</v>
      </c>
      <c r="C107" s="376"/>
      <c r="D107" s="104">
        <v>0</v>
      </c>
    </row>
    <row r="108" spans="1:17" ht="11.25" thickBot="1" x14ac:dyDescent="0.2">
      <c r="A108" s="103" t="s">
        <v>123</v>
      </c>
      <c r="B108" s="379" t="s">
        <v>191</v>
      </c>
      <c r="C108" s="387"/>
      <c r="D108" s="338">
        <v>3.51</v>
      </c>
      <c r="E108" s="2" t="s">
        <v>225</v>
      </c>
    </row>
    <row r="109" spans="1:17" ht="11.25" thickBot="1" x14ac:dyDescent="0.2"/>
    <row r="110" spans="1:17" ht="11.25" thickBot="1" x14ac:dyDescent="0.2">
      <c r="A110" s="65" t="s">
        <v>192</v>
      </c>
      <c r="B110" s="383" t="s">
        <v>59</v>
      </c>
      <c r="C110" s="384"/>
      <c r="D110" s="72" t="s">
        <v>50</v>
      </c>
      <c r="E110" s="84" t="s">
        <v>90</v>
      </c>
    </row>
    <row r="111" spans="1:17" ht="21.75" thickBot="1" x14ac:dyDescent="0.2">
      <c r="A111" s="335" t="s">
        <v>433</v>
      </c>
      <c r="B111" s="379" t="s">
        <v>91</v>
      </c>
      <c r="C111" s="374"/>
      <c r="D111" s="334">
        <v>0</v>
      </c>
      <c r="E111" s="333">
        <v>0</v>
      </c>
    </row>
  </sheetData>
  <sheetProtection algorithmName="SHA-512" hashValue="v82s7/royOrpHZivPielOju0Sn+CBMgN1yxoXc+GDBDZAgGHTNmCnNwblvIFsdybdZJl70yD5oXMiWpoUZKPFQ==" saltValue="XGkjUEV9CUhJ0/0TclFiXw==" spinCount="100000" sheet="1" objects="1" scenarios="1"/>
  <mergeCells count="39">
    <mergeCell ref="B110:C110"/>
    <mergeCell ref="B111:C111"/>
    <mergeCell ref="A72:C72"/>
    <mergeCell ref="B73:C73"/>
    <mergeCell ref="B80:C80"/>
    <mergeCell ref="B79:C79"/>
    <mergeCell ref="B93:C93"/>
    <mergeCell ref="B81:C81"/>
    <mergeCell ref="B82:C82"/>
    <mergeCell ref="B83:C83"/>
    <mergeCell ref="B97:C97"/>
    <mergeCell ref="B90:C90"/>
    <mergeCell ref="B84:C84"/>
    <mergeCell ref="B91:C91"/>
    <mergeCell ref="B108:C108"/>
    <mergeCell ref="B105:C105"/>
    <mergeCell ref="B107:C107"/>
    <mergeCell ref="B69:C69"/>
    <mergeCell ref="A68:C68"/>
    <mergeCell ref="B85:C85"/>
    <mergeCell ref="B92:C92"/>
    <mergeCell ref="B96:C96"/>
    <mergeCell ref="B86:C86"/>
    <mergeCell ref="B87:C87"/>
    <mergeCell ref="B88:C88"/>
    <mergeCell ref="B89:C89"/>
    <mergeCell ref="B99:C99"/>
    <mergeCell ref="B100:C100"/>
    <mergeCell ref="I64:J64"/>
    <mergeCell ref="H3:J3"/>
    <mergeCell ref="H70:J70"/>
    <mergeCell ref="I71:J71"/>
    <mergeCell ref="B106:C106"/>
    <mergeCell ref="A36:D36"/>
    <mergeCell ref="H36:K36"/>
    <mergeCell ref="A64:C64"/>
    <mergeCell ref="B65:C65"/>
    <mergeCell ref="A6:D6"/>
    <mergeCell ref="C8:G8"/>
  </mergeCells>
  <pageMargins left="0.7" right="0.7" top="0.75" bottom="0.75" header="0.3" footer="0.3"/>
  <pageSetup paperSize="8"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136"/>
  <sheetViews>
    <sheetView zoomScaleNormal="100" workbookViewId="0"/>
  </sheetViews>
  <sheetFormatPr defaultColWidth="9.33203125" defaultRowHeight="12.75" outlineLevelCol="1" x14ac:dyDescent="0.2"/>
  <cols>
    <col min="1" max="1" width="37.33203125" style="107" customWidth="1"/>
    <col min="2" max="2" width="10" style="107" customWidth="1"/>
    <col min="3" max="3" width="14.1640625" style="107" customWidth="1"/>
    <col min="4" max="4" width="14.83203125" style="107" customWidth="1"/>
    <col min="5" max="5" width="19.1640625" style="107" bestFit="1" customWidth="1"/>
    <col min="6" max="6" width="15" style="107" bestFit="1" customWidth="1"/>
    <col min="7" max="7" width="12" style="107" customWidth="1"/>
    <col min="8" max="8" width="11" style="107" bestFit="1" customWidth="1"/>
    <col min="9" max="9" width="12.1640625" style="107" bestFit="1" customWidth="1"/>
    <col min="10" max="12" width="9.5" style="107" bestFit="1" customWidth="1"/>
    <col min="13" max="13" width="17.5" style="107" bestFit="1" customWidth="1"/>
    <col min="14" max="14" width="14.33203125" style="107" hidden="1" customWidth="1" outlineLevel="1"/>
    <col min="15" max="15" width="12.83203125" style="107" hidden="1" customWidth="1" outlineLevel="1"/>
    <col min="16" max="16" width="14.33203125" style="107" bestFit="1" customWidth="1" collapsed="1"/>
    <col min="17" max="17" width="19.83203125" style="107" bestFit="1" customWidth="1"/>
    <col min="18" max="19" width="15.33203125" style="107" bestFit="1" customWidth="1"/>
    <col min="20" max="20" width="9.33203125" style="107"/>
    <col min="21" max="21" width="10.6640625" style="107" bestFit="1" customWidth="1"/>
    <col min="22" max="16384" width="9.33203125" style="107"/>
  </cols>
  <sheetData>
    <row r="1" spans="1:20" ht="18.75" thickBot="1" x14ac:dyDescent="0.3">
      <c r="A1" s="105" t="s">
        <v>102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20" ht="16.5" thickBot="1" x14ac:dyDescent="0.3">
      <c r="A2" s="300" t="s">
        <v>300</v>
      </c>
      <c r="B2" s="106"/>
      <c r="C2" s="106"/>
      <c r="D2" s="106"/>
      <c r="E2" s="106"/>
      <c r="F2" s="106"/>
      <c r="G2" s="106"/>
      <c r="H2" s="106"/>
      <c r="I2" s="390" t="s">
        <v>270</v>
      </c>
      <c r="J2" s="391"/>
      <c r="K2" s="391"/>
      <c r="L2" s="391"/>
      <c r="M2" s="392"/>
    </row>
    <row r="3" spans="1:20" ht="15" x14ac:dyDescent="0.2">
      <c r="A3" s="108"/>
      <c r="B3" s="106"/>
      <c r="C3" s="106"/>
      <c r="D3" s="106"/>
      <c r="E3" s="106"/>
      <c r="F3" s="106"/>
      <c r="G3" s="106"/>
      <c r="H3" s="106"/>
      <c r="I3" s="106"/>
      <c r="J3" s="106"/>
    </row>
    <row r="4" spans="1:20" ht="15" x14ac:dyDescent="0.2">
      <c r="A4" s="109" t="s">
        <v>3</v>
      </c>
      <c r="B4" s="398" t="s">
        <v>415</v>
      </c>
      <c r="C4" s="399"/>
      <c r="E4" s="110" t="s">
        <v>186</v>
      </c>
      <c r="F4" s="339">
        <f>+VLOOKUP(B4,Kommunenavn,2)</f>
        <v>0</v>
      </c>
      <c r="H4" s="109" t="s">
        <v>4</v>
      </c>
      <c r="J4" s="226"/>
      <c r="K4" s="228"/>
      <c r="L4" s="227"/>
      <c r="O4" s="111"/>
      <c r="P4" s="112"/>
      <c r="Q4" s="112"/>
      <c r="R4" s="112"/>
      <c r="S4" s="112"/>
      <c r="T4" s="112"/>
    </row>
    <row r="5" spans="1:20" ht="15" x14ac:dyDescent="0.2">
      <c r="A5" s="3" t="s">
        <v>5</v>
      </c>
      <c r="B5" s="2"/>
      <c r="C5" s="340">
        <v>44470</v>
      </c>
      <c r="D5" s="337"/>
      <c r="E5" s="305"/>
      <c r="F5" s="115"/>
      <c r="G5" s="113"/>
      <c r="H5" s="116"/>
      <c r="I5" s="113"/>
      <c r="J5" s="113"/>
      <c r="K5" s="113"/>
      <c r="L5" s="113"/>
      <c r="M5" s="113"/>
      <c r="O5" s="111"/>
      <c r="P5" s="112"/>
      <c r="Q5" s="112"/>
      <c r="R5" s="112"/>
      <c r="S5" s="112"/>
      <c r="T5" s="112"/>
    </row>
    <row r="6" spans="1:20" x14ac:dyDescent="0.2">
      <c r="A6" s="3" t="s">
        <v>282</v>
      </c>
      <c r="B6" s="2" t="s">
        <v>283</v>
      </c>
      <c r="C6" s="351">
        <v>44562</v>
      </c>
      <c r="D6" s="305" t="s">
        <v>284</v>
      </c>
      <c r="E6" s="351">
        <v>44926</v>
      </c>
      <c r="F6" s="2"/>
      <c r="G6" s="3"/>
      <c r="H6" s="117"/>
      <c r="I6" s="8"/>
      <c r="J6" s="117"/>
      <c r="K6" s="8"/>
      <c r="L6" s="8"/>
      <c r="M6" s="117"/>
      <c r="P6" s="118"/>
    </row>
    <row r="7" spans="1:20" ht="21.75" x14ac:dyDescent="0.2">
      <c r="A7" s="3"/>
      <c r="B7" s="2"/>
      <c r="D7" s="3"/>
      <c r="F7" s="330" t="s">
        <v>421</v>
      </c>
      <c r="G7" s="119" t="s">
        <v>228</v>
      </c>
      <c r="H7" s="117"/>
      <c r="I7" s="120" t="s">
        <v>227</v>
      </c>
      <c r="J7" s="120" t="s">
        <v>7</v>
      </c>
      <c r="K7" s="120" t="s">
        <v>8</v>
      </c>
      <c r="L7" s="120" t="s">
        <v>9</v>
      </c>
      <c r="M7" s="120" t="s">
        <v>47</v>
      </c>
      <c r="P7" s="118"/>
    </row>
    <row r="8" spans="1:20" ht="22.5" customHeight="1" x14ac:dyDescent="0.2">
      <c r="A8" s="396" t="s">
        <v>431</v>
      </c>
      <c r="B8" s="397"/>
      <c r="C8" s="397"/>
      <c r="D8" s="397"/>
      <c r="E8" s="397"/>
      <c r="F8" s="343">
        <v>11</v>
      </c>
      <c r="G8" s="344">
        <f>+INDEX(Timepriser,MATCH(F8,Løntrin,0),MATCH(F4,Stedtillæg,0))</f>
        <v>132.19113965280667</v>
      </c>
      <c r="I8" s="244">
        <f>+G8*Forudsætninger!B43</f>
        <v>66.095569826403334</v>
      </c>
      <c r="J8" s="122">
        <f>+G8*Forudsætninger!B42</f>
        <v>39.657341895842002</v>
      </c>
      <c r="K8" s="122">
        <f>+G8*Forudsætninger!B40</f>
        <v>39.657341895842002</v>
      </c>
      <c r="L8" s="122">
        <f>+G8*Forudsætninger!B41</f>
        <v>46.26689887848233</v>
      </c>
      <c r="M8" s="122">
        <f>G8*Forudsætninger!B45</f>
        <v>99.143354739605002</v>
      </c>
      <c r="N8" s="76"/>
      <c r="O8" s="123"/>
      <c r="P8" s="118">
        <v>43466</v>
      </c>
    </row>
    <row r="9" spans="1:20" ht="13.5" thickBo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89" t="s">
        <v>229</v>
      </c>
      <c r="O9" s="389"/>
      <c r="Q9" s="124"/>
    </row>
    <row r="10" spans="1:20" ht="42.75" x14ac:dyDescent="0.2">
      <c r="A10" s="125"/>
      <c r="B10" s="126" t="s">
        <v>10</v>
      </c>
      <c r="C10" s="126" t="s">
        <v>66</v>
      </c>
      <c r="D10" s="126" t="s">
        <v>49</v>
      </c>
      <c r="E10" s="126" t="s">
        <v>68</v>
      </c>
      <c r="F10" s="126" t="s">
        <v>11</v>
      </c>
      <c r="G10" s="126" t="s">
        <v>12</v>
      </c>
      <c r="H10" s="126" t="s">
        <v>7</v>
      </c>
      <c r="I10" s="126" t="s">
        <v>13</v>
      </c>
      <c r="J10" s="127" t="s">
        <v>14</v>
      </c>
      <c r="K10" s="125" t="s">
        <v>15</v>
      </c>
      <c r="L10" s="128" t="s">
        <v>67</v>
      </c>
      <c r="M10" s="129" t="s">
        <v>16</v>
      </c>
      <c r="N10" s="129" t="s">
        <v>89</v>
      </c>
      <c r="O10" s="129" t="s">
        <v>88</v>
      </c>
    </row>
    <row r="11" spans="1:20" x14ac:dyDescent="0.2">
      <c r="A11" s="102" t="s">
        <v>17</v>
      </c>
      <c r="B11" s="121" t="s">
        <v>18</v>
      </c>
      <c r="C11" s="229"/>
      <c r="D11" s="229"/>
      <c r="E11" s="229"/>
      <c r="F11" s="122">
        <f>+G8</f>
        <v>132.19113965280667</v>
      </c>
      <c r="G11" s="122" t="s">
        <v>19</v>
      </c>
      <c r="H11" s="122" t="s">
        <v>19</v>
      </c>
      <c r="I11" s="122" t="s">
        <v>19</v>
      </c>
      <c r="J11" s="130">
        <f>+L8</f>
        <v>46.26689887848233</v>
      </c>
      <c r="K11" s="131">
        <f>+M8</f>
        <v>99.143354739605002</v>
      </c>
      <c r="L11" s="132">
        <f>SUM(F11:J11)</f>
        <v>178.45803853128899</v>
      </c>
      <c r="M11" s="133">
        <f>+($C11+($D11/(Budgetark!$G$6)+$E11*3/4))*$F11+N11+O11/(Budgetark!$G$6)</f>
        <v>0</v>
      </c>
      <c r="N11" s="134">
        <f>SUM(G11:J11)*ROUNDUP(C11*2,0)/2</f>
        <v>0</v>
      </c>
      <c r="O11" s="135">
        <f>SUM(G11:J11)*ROUNDUP(D11*2,0)/2</f>
        <v>0</v>
      </c>
      <c r="Q11" s="124"/>
    </row>
    <row r="12" spans="1:20" x14ac:dyDescent="0.2">
      <c r="A12" s="102" t="s">
        <v>17</v>
      </c>
      <c r="B12" s="136" t="s">
        <v>20</v>
      </c>
      <c r="C12" s="229"/>
      <c r="D12" s="229"/>
      <c r="E12" s="229"/>
      <c r="F12" s="122">
        <f>+G8</f>
        <v>132.19113965280667</v>
      </c>
      <c r="G12" s="122"/>
      <c r="H12" s="122"/>
      <c r="I12" s="122"/>
      <c r="J12" s="130"/>
      <c r="K12" s="131">
        <f>+M8</f>
        <v>99.143354739605002</v>
      </c>
      <c r="L12" s="132">
        <f>SUM(F12:J12)</f>
        <v>132.19113965280667</v>
      </c>
      <c r="M12" s="133">
        <f>+($C12+($D12/(Budgetark!$G$6)+$E12*3/4))*$F12+N12+O12/(Budgetark!$G$6)</f>
        <v>0</v>
      </c>
      <c r="N12" s="134">
        <f t="shared" ref="N12:N45" si="0">SUM(G12:J12)*ROUNDUP(C12*2,0)/2</f>
        <v>0</v>
      </c>
      <c r="O12" s="135">
        <f t="shared" ref="O12:O45" si="1">SUM(G12:J12)*ROUNDUP(D12*2,0)/2</f>
        <v>0</v>
      </c>
      <c r="Q12" s="124"/>
    </row>
    <row r="13" spans="1:20" x14ac:dyDescent="0.2">
      <c r="A13" s="102" t="s">
        <v>17</v>
      </c>
      <c r="B13" s="136" t="s">
        <v>21</v>
      </c>
      <c r="C13" s="229"/>
      <c r="D13" s="229"/>
      <c r="E13" s="229"/>
      <c r="F13" s="122">
        <f>+G8</f>
        <v>132.19113965280667</v>
      </c>
      <c r="G13" s="122"/>
      <c r="H13" s="122"/>
      <c r="I13" s="122">
        <f>+K8</f>
        <v>39.657341895842002</v>
      </c>
      <c r="J13" s="130"/>
      <c r="K13" s="131">
        <f>+M8</f>
        <v>99.143354739605002</v>
      </c>
      <c r="L13" s="132">
        <f>SUM(F13:J13)</f>
        <v>171.84848154864866</v>
      </c>
      <c r="M13" s="133">
        <f>+($C13+($D13/(Budgetark!$G$6)+$E13*3/4))*$F13+N13+O13/(Budgetark!$G$6)</f>
        <v>0</v>
      </c>
      <c r="N13" s="134">
        <f t="shared" si="0"/>
        <v>0</v>
      </c>
      <c r="O13" s="135">
        <f t="shared" si="1"/>
        <v>0</v>
      </c>
      <c r="P13" s="137"/>
      <c r="Q13" s="124"/>
    </row>
    <row r="14" spans="1:20" x14ac:dyDescent="0.2">
      <c r="A14" s="102" t="s">
        <v>17</v>
      </c>
      <c r="B14" s="121" t="s">
        <v>22</v>
      </c>
      <c r="C14" s="229"/>
      <c r="D14" s="229"/>
      <c r="E14" s="229"/>
      <c r="F14" s="122">
        <f>+G8</f>
        <v>132.19113965280667</v>
      </c>
      <c r="G14" s="122"/>
      <c r="H14" s="122"/>
      <c r="I14" s="122" t="s">
        <v>19</v>
      </c>
      <c r="J14" s="130">
        <f>+L8</f>
        <v>46.26689887848233</v>
      </c>
      <c r="K14" s="131">
        <f>+M8</f>
        <v>99.143354739605002</v>
      </c>
      <c r="L14" s="132">
        <f>SUM(F14:J14)</f>
        <v>178.45803853128899</v>
      </c>
      <c r="M14" s="133">
        <f>+($C14+($D14/(Budgetark!$G$6)+$E14*3/4))*$F14+N14+O14/(Budgetark!$G$6)</f>
        <v>0</v>
      </c>
      <c r="N14" s="134">
        <f t="shared" si="0"/>
        <v>0</v>
      </c>
      <c r="O14" s="135">
        <f t="shared" si="1"/>
        <v>0</v>
      </c>
      <c r="Q14" s="124"/>
    </row>
    <row r="15" spans="1:20" x14ac:dyDescent="0.2">
      <c r="A15" s="43"/>
      <c r="B15" s="8"/>
      <c r="C15" s="138"/>
      <c r="D15" s="138"/>
      <c r="E15" s="138"/>
      <c r="F15" s="138" t="s">
        <v>19</v>
      </c>
      <c r="G15" s="138"/>
      <c r="H15" s="138"/>
      <c r="I15" s="138"/>
      <c r="J15" s="138"/>
      <c r="K15" s="139"/>
      <c r="L15" s="140" t="s">
        <v>19</v>
      </c>
      <c r="M15" s="133"/>
      <c r="N15" s="134"/>
      <c r="O15" s="135"/>
    </row>
    <row r="16" spans="1:20" x14ac:dyDescent="0.2">
      <c r="A16" s="102" t="s">
        <v>23</v>
      </c>
      <c r="B16" s="121" t="s">
        <v>18</v>
      </c>
      <c r="C16" s="229"/>
      <c r="D16" s="229"/>
      <c r="E16" s="229"/>
      <c r="F16" s="122">
        <f>+G8</f>
        <v>132.19113965280667</v>
      </c>
      <c r="G16" s="122" t="s">
        <v>19</v>
      </c>
      <c r="H16" s="122" t="s">
        <v>19</v>
      </c>
      <c r="I16" s="122" t="s">
        <v>19</v>
      </c>
      <c r="J16" s="130">
        <f>+L8</f>
        <v>46.26689887848233</v>
      </c>
      <c r="K16" s="131">
        <f>+M8</f>
        <v>99.143354739605002</v>
      </c>
      <c r="L16" s="132">
        <f>SUM(F16:J16)</f>
        <v>178.45803853128899</v>
      </c>
      <c r="M16" s="133">
        <f>+($C16+($D16/(Budgetark!$G$6)+$E16*3/4))*$F16+N16+O16/(Budgetark!$G$6)</f>
        <v>0</v>
      </c>
      <c r="N16" s="134">
        <f t="shared" si="0"/>
        <v>0</v>
      </c>
      <c r="O16" s="135">
        <f t="shared" si="1"/>
        <v>0</v>
      </c>
      <c r="P16" s="141"/>
    </row>
    <row r="17" spans="1:16" x14ac:dyDescent="0.2">
      <c r="A17" s="102" t="s">
        <v>23</v>
      </c>
      <c r="B17" s="136" t="s">
        <v>20</v>
      </c>
      <c r="C17" s="229"/>
      <c r="D17" s="229"/>
      <c r="E17" s="229"/>
      <c r="F17" s="122">
        <f>+G8</f>
        <v>132.19113965280667</v>
      </c>
      <c r="G17" s="122"/>
      <c r="H17" s="122"/>
      <c r="I17" s="122"/>
      <c r="J17" s="130"/>
      <c r="K17" s="131">
        <f>+M8</f>
        <v>99.143354739605002</v>
      </c>
      <c r="L17" s="132">
        <f>SUM(F17:J17)</f>
        <v>132.19113965280667</v>
      </c>
      <c r="M17" s="133">
        <f>+($C17+($D17/(Budgetark!$G$6)+$E17*3/4))*$F17+N17+O17/(Budgetark!$G$6)</f>
        <v>0</v>
      </c>
      <c r="N17" s="134">
        <f t="shared" si="0"/>
        <v>0</v>
      </c>
      <c r="O17" s="135">
        <f t="shared" si="1"/>
        <v>0</v>
      </c>
      <c r="P17" s="141"/>
    </row>
    <row r="18" spans="1:16" x14ac:dyDescent="0.2">
      <c r="A18" s="102" t="s">
        <v>23</v>
      </c>
      <c r="B18" s="136" t="s">
        <v>21</v>
      </c>
      <c r="C18" s="229"/>
      <c r="D18" s="229"/>
      <c r="E18" s="229"/>
      <c r="F18" s="122">
        <f>+G8</f>
        <v>132.19113965280667</v>
      </c>
      <c r="G18" s="122"/>
      <c r="H18" s="122"/>
      <c r="I18" s="122">
        <f>+K8</f>
        <v>39.657341895842002</v>
      </c>
      <c r="J18" s="130"/>
      <c r="K18" s="131">
        <f>+M8</f>
        <v>99.143354739605002</v>
      </c>
      <c r="L18" s="132">
        <f>SUM(F18:J18)</f>
        <v>171.84848154864866</v>
      </c>
      <c r="M18" s="133">
        <f>+($C18+($D18/(Budgetark!$G$6)+$E18*3/4))*$F18+N18+O18/(Budgetark!$G$6)</f>
        <v>0</v>
      </c>
      <c r="N18" s="134">
        <f t="shared" si="0"/>
        <v>0</v>
      </c>
      <c r="O18" s="135">
        <f t="shared" si="1"/>
        <v>0</v>
      </c>
      <c r="P18" s="142"/>
    </row>
    <row r="19" spans="1:16" x14ac:dyDescent="0.2">
      <c r="A19" s="102" t="s">
        <v>23</v>
      </c>
      <c r="B19" s="121" t="s">
        <v>22</v>
      </c>
      <c r="C19" s="229"/>
      <c r="D19" s="229"/>
      <c r="E19" s="229"/>
      <c r="F19" s="122">
        <f>+G8</f>
        <v>132.19113965280667</v>
      </c>
      <c r="G19" s="122"/>
      <c r="H19" s="122"/>
      <c r="I19" s="122" t="s">
        <v>19</v>
      </c>
      <c r="J19" s="130">
        <f>+L8</f>
        <v>46.26689887848233</v>
      </c>
      <c r="K19" s="131">
        <f>+M8</f>
        <v>99.143354739605002</v>
      </c>
      <c r="L19" s="132">
        <f>SUM(F19:J19)</f>
        <v>178.45803853128899</v>
      </c>
      <c r="M19" s="133">
        <f>+($C19+($D19/(Budgetark!$G$6)+$E19*3/4))*$F19+N19+O19/(Budgetark!$G$6)</f>
        <v>0</v>
      </c>
      <c r="N19" s="134">
        <f t="shared" si="0"/>
        <v>0</v>
      </c>
      <c r="O19" s="135">
        <f t="shared" si="1"/>
        <v>0</v>
      </c>
      <c r="P19" s="142"/>
    </row>
    <row r="20" spans="1:16" x14ac:dyDescent="0.2">
      <c r="A20" s="43"/>
      <c r="B20" s="8"/>
      <c r="C20" s="138"/>
      <c r="D20" s="138"/>
      <c r="E20" s="138"/>
      <c r="F20" s="138" t="s">
        <v>19</v>
      </c>
      <c r="G20" s="138"/>
      <c r="H20" s="138"/>
      <c r="I20" s="138"/>
      <c r="J20" s="138"/>
      <c r="K20" s="139"/>
      <c r="L20" s="140" t="s">
        <v>19</v>
      </c>
      <c r="M20" s="133"/>
      <c r="N20" s="134"/>
      <c r="O20" s="135"/>
    </row>
    <row r="21" spans="1:16" x14ac:dyDescent="0.2">
      <c r="A21" s="102" t="s">
        <v>24</v>
      </c>
      <c r="B21" s="121" t="s">
        <v>18</v>
      </c>
      <c r="C21" s="229"/>
      <c r="D21" s="229"/>
      <c r="E21" s="229"/>
      <c r="F21" s="122">
        <f>+G8</f>
        <v>132.19113965280667</v>
      </c>
      <c r="G21" s="122" t="s">
        <v>19</v>
      </c>
      <c r="H21" s="122" t="s">
        <v>19</v>
      </c>
      <c r="I21" s="122" t="s">
        <v>19</v>
      </c>
      <c r="J21" s="130">
        <f>+L8</f>
        <v>46.26689887848233</v>
      </c>
      <c r="K21" s="131">
        <f>+M8</f>
        <v>99.143354739605002</v>
      </c>
      <c r="L21" s="132">
        <f>SUM(F21:J21)</f>
        <v>178.45803853128899</v>
      </c>
      <c r="M21" s="133">
        <f>+($C21+($D21/(Budgetark!$G$6)+$E21*3/4))*$F21+N21+O21/(Budgetark!$G$6)</f>
        <v>0</v>
      </c>
      <c r="N21" s="134">
        <f t="shared" si="0"/>
        <v>0</v>
      </c>
      <c r="O21" s="135">
        <f t="shared" si="1"/>
        <v>0</v>
      </c>
    </row>
    <row r="22" spans="1:16" x14ac:dyDescent="0.2">
      <c r="A22" s="102" t="s">
        <v>24</v>
      </c>
      <c r="B22" s="136" t="s">
        <v>20</v>
      </c>
      <c r="C22" s="229"/>
      <c r="D22" s="229"/>
      <c r="E22" s="229"/>
      <c r="F22" s="122">
        <f>+G8</f>
        <v>132.19113965280667</v>
      </c>
      <c r="G22" s="122"/>
      <c r="H22" s="122"/>
      <c r="I22" s="122"/>
      <c r="J22" s="130"/>
      <c r="K22" s="131">
        <f>+M8</f>
        <v>99.143354739605002</v>
      </c>
      <c r="L22" s="132">
        <f>SUM(F22:J22)</f>
        <v>132.19113965280667</v>
      </c>
      <c r="M22" s="133">
        <f>+($C22+($D22/(Budgetark!$G$6)+$E22*3/4))*$F22+N22+O22/(Budgetark!$G$6)</f>
        <v>0</v>
      </c>
      <c r="N22" s="134">
        <f t="shared" si="0"/>
        <v>0</v>
      </c>
      <c r="O22" s="135">
        <f t="shared" si="1"/>
        <v>0</v>
      </c>
    </row>
    <row r="23" spans="1:16" x14ac:dyDescent="0.2">
      <c r="A23" s="102" t="s">
        <v>24</v>
      </c>
      <c r="B23" s="136" t="s">
        <v>21</v>
      </c>
      <c r="C23" s="229"/>
      <c r="D23" s="229"/>
      <c r="E23" s="229"/>
      <c r="F23" s="122">
        <f>+G8</f>
        <v>132.19113965280667</v>
      </c>
      <c r="G23" s="122"/>
      <c r="H23" s="122"/>
      <c r="I23" s="122">
        <f>+K8</f>
        <v>39.657341895842002</v>
      </c>
      <c r="J23" s="130"/>
      <c r="K23" s="131">
        <f>+M8</f>
        <v>99.143354739605002</v>
      </c>
      <c r="L23" s="132">
        <f>SUM(F23:J23)</f>
        <v>171.84848154864866</v>
      </c>
      <c r="M23" s="133">
        <f>+($C23+($D23/(Budgetark!$G$6)+$E23*3/4))*$F23+N23+O23/(Budgetark!$G$6)</f>
        <v>0</v>
      </c>
      <c r="N23" s="134">
        <f t="shared" si="0"/>
        <v>0</v>
      </c>
      <c r="O23" s="135">
        <f t="shared" si="1"/>
        <v>0</v>
      </c>
    </row>
    <row r="24" spans="1:16" x14ac:dyDescent="0.2">
      <c r="A24" s="102" t="s">
        <v>24</v>
      </c>
      <c r="B24" s="121" t="s">
        <v>22</v>
      </c>
      <c r="C24" s="229"/>
      <c r="D24" s="229"/>
      <c r="E24" s="229"/>
      <c r="F24" s="122">
        <f>+G8</f>
        <v>132.19113965280667</v>
      </c>
      <c r="G24" s="122"/>
      <c r="H24" s="122"/>
      <c r="I24" s="122" t="s">
        <v>19</v>
      </c>
      <c r="J24" s="130">
        <f>+L8</f>
        <v>46.26689887848233</v>
      </c>
      <c r="K24" s="131">
        <f>+M8</f>
        <v>99.143354739605002</v>
      </c>
      <c r="L24" s="132">
        <f>SUM(F24:J24)</f>
        <v>178.45803853128899</v>
      </c>
      <c r="M24" s="133">
        <f>+($C24+($D24/(Budgetark!$G$6)+$E24*3/4))*$F24+N24+O24/(Budgetark!$G$6)</f>
        <v>0</v>
      </c>
      <c r="N24" s="134">
        <f t="shared" si="0"/>
        <v>0</v>
      </c>
      <c r="O24" s="135">
        <f t="shared" si="1"/>
        <v>0</v>
      </c>
    </row>
    <row r="25" spans="1:16" x14ac:dyDescent="0.2">
      <c r="A25" s="43"/>
      <c r="B25" s="8"/>
      <c r="C25" s="138"/>
      <c r="D25" s="138"/>
      <c r="E25" s="138"/>
      <c r="F25" s="138" t="s">
        <v>19</v>
      </c>
      <c r="G25" s="138"/>
      <c r="H25" s="138"/>
      <c r="I25" s="138"/>
      <c r="J25" s="138"/>
      <c r="K25" s="139"/>
      <c r="L25" s="140" t="s">
        <v>19</v>
      </c>
      <c r="M25" s="133"/>
      <c r="N25" s="134"/>
      <c r="O25" s="135"/>
    </row>
    <row r="26" spans="1:16" x14ac:dyDescent="0.2">
      <c r="A26" s="102" t="s">
        <v>25</v>
      </c>
      <c r="B26" s="121" t="s">
        <v>18</v>
      </c>
      <c r="C26" s="229"/>
      <c r="D26" s="229"/>
      <c r="E26" s="229"/>
      <c r="F26" s="122">
        <f>+G8</f>
        <v>132.19113965280667</v>
      </c>
      <c r="G26" s="122" t="s">
        <v>19</v>
      </c>
      <c r="H26" s="122" t="s">
        <v>19</v>
      </c>
      <c r="I26" s="122" t="s">
        <v>19</v>
      </c>
      <c r="J26" s="130">
        <f>+L8</f>
        <v>46.26689887848233</v>
      </c>
      <c r="K26" s="131">
        <f>+M8</f>
        <v>99.143354739605002</v>
      </c>
      <c r="L26" s="132">
        <f>SUM(F26:J26)</f>
        <v>178.45803853128899</v>
      </c>
      <c r="M26" s="133">
        <f>+($C26+($D26/(Budgetark!$G$6)+$E26*3/4))*$F26+N26+O26/(Budgetark!$G$6)</f>
        <v>0</v>
      </c>
      <c r="N26" s="134">
        <f t="shared" si="0"/>
        <v>0</v>
      </c>
      <c r="O26" s="135">
        <f t="shared" si="1"/>
        <v>0</v>
      </c>
    </row>
    <row r="27" spans="1:16" x14ac:dyDescent="0.2">
      <c r="A27" s="102" t="s">
        <v>25</v>
      </c>
      <c r="B27" s="136" t="s">
        <v>20</v>
      </c>
      <c r="C27" s="229"/>
      <c r="D27" s="229"/>
      <c r="E27" s="229"/>
      <c r="F27" s="122">
        <f>+G8</f>
        <v>132.19113965280667</v>
      </c>
      <c r="G27" s="122"/>
      <c r="H27" s="122"/>
      <c r="I27" s="122"/>
      <c r="J27" s="130"/>
      <c r="K27" s="131">
        <f>+M8</f>
        <v>99.143354739605002</v>
      </c>
      <c r="L27" s="132">
        <f>SUM(F27:J27)</f>
        <v>132.19113965280667</v>
      </c>
      <c r="M27" s="133">
        <f>+($C27+($D27/(Budgetark!$G$6)+$E27*3/4))*$F27+N27+O27/(Budgetark!$G$6)</f>
        <v>0</v>
      </c>
      <c r="N27" s="134">
        <f t="shared" si="0"/>
        <v>0</v>
      </c>
      <c r="O27" s="135">
        <f t="shared" si="1"/>
        <v>0</v>
      </c>
    </row>
    <row r="28" spans="1:16" x14ac:dyDescent="0.2">
      <c r="A28" s="102" t="s">
        <v>25</v>
      </c>
      <c r="B28" s="136" t="s">
        <v>21</v>
      </c>
      <c r="C28" s="229"/>
      <c r="D28" s="229"/>
      <c r="E28" s="229"/>
      <c r="F28" s="122">
        <f>+G8</f>
        <v>132.19113965280667</v>
      </c>
      <c r="G28" s="122"/>
      <c r="H28" s="122"/>
      <c r="I28" s="122">
        <f>+K8</f>
        <v>39.657341895842002</v>
      </c>
      <c r="J28" s="130" t="s">
        <v>19</v>
      </c>
      <c r="K28" s="131">
        <f>+M8</f>
        <v>99.143354739605002</v>
      </c>
      <c r="L28" s="132">
        <f>SUM(F28:J28)</f>
        <v>171.84848154864866</v>
      </c>
      <c r="M28" s="133">
        <f>+($C28+($D28/(Budgetark!$G$6)+$E28*3/4))*$F28+N28+O28/(Budgetark!$G$6)</f>
        <v>0</v>
      </c>
      <c r="N28" s="134">
        <f t="shared" si="0"/>
        <v>0</v>
      </c>
      <c r="O28" s="135">
        <f t="shared" si="1"/>
        <v>0</v>
      </c>
    </row>
    <row r="29" spans="1:16" x14ac:dyDescent="0.2">
      <c r="A29" s="102" t="s">
        <v>25</v>
      </c>
      <c r="B29" s="121" t="s">
        <v>22</v>
      </c>
      <c r="C29" s="229"/>
      <c r="D29" s="229"/>
      <c r="E29" s="229"/>
      <c r="F29" s="122">
        <f>+G8</f>
        <v>132.19113965280667</v>
      </c>
      <c r="G29" s="122"/>
      <c r="H29" s="122"/>
      <c r="I29" s="122" t="s">
        <v>19</v>
      </c>
      <c r="J29" s="130">
        <f>+L8</f>
        <v>46.26689887848233</v>
      </c>
      <c r="K29" s="131">
        <f>+M8</f>
        <v>99.143354739605002</v>
      </c>
      <c r="L29" s="132">
        <f>SUM(F29:J29)</f>
        <v>178.45803853128899</v>
      </c>
      <c r="M29" s="133">
        <f>+($C29+($D29/(Budgetark!$G$6)+$E29*3/4))*$F29+N29+O29/(Budgetark!$G$6)</f>
        <v>0</v>
      </c>
      <c r="N29" s="134">
        <f t="shared" si="0"/>
        <v>0</v>
      </c>
      <c r="O29" s="135">
        <f t="shared" si="1"/>
        <v>0</v>
      </c>
    </row>
    <row r="30" spans="1:16" x14ac:dyDescent="0.2">
      <c r="A30" s="43"/>
      <c r="B30" s="8"/>
      <c r="C30" s="138"/>
      <c r="D30" s="138"/>
      <c r="E30" s="138"/>
      <c r="F30" s="138" t="s">
        <v>19</v>
      </c>
      <c r="G30" s="138"/>
      <c r="H30" s="138"/>
      <c r="I30" s="138"/>
      <c r="J30" s="138"/>
      <c r="K30" s="139"/>
      <c r="L30" s="140" t="s">
        <v>19</v>
      </c>
      <c r="M30" s="133"/>
      <c r="N30" s="134"/>
      <c r="O30" s="135"/>
    </row>
    <row r="31" spans="1:16" x14ac:dyDescent="0.2">
      <c r="A31" s="102" t="s">
        <v>26</v>
      </c>
      <c r="B31" s="121" t="s">
        <v>18</v>
      </c>
      <c r="C31" s="229"/>
      <c r="D31" s="229"/>
      <c r="E31" s="229"/>
      <c r="F31" s="122">
        <f>+G8</f>
        <v>132.19113965280667</v>
      </c>
      <c r="G31" s="122" t="s">
        <v>19</v>
      </c>
      <c r="H31" s="122" t="s">
        <v>19</v>
      </c>
      <c r="I31" s="122" t="s">
        <v>19</v>
      </c>
      <c r="J31" s="130">
        <f>+L8</f>
        <v>46.26689887848233</v>
      </c>
      <c r="K31" s="131">
        <f>+M8</f>
        <v>99.143354739605002</v>
      </c>
      <c r="L31" s="132">
        <f>SUM(F31:J31)</f>
        <v>178.45803853128899</v>
      </c>
      <c r="M31" s="133">
        <f>+($C31+($D31/(Budgetark!$G$6)+$E31*3/4))*$F31+N31+O31/(Budgetark!$G$6)</f>
        <v>0</v>
      </c>
      <c r="N31" s="134">
        <f t="shared" si="0"/>
        <v>0</v>
      </c>
      <c r="O31" s="135">
        <f t="shared" si="1"/>
        <v>0</v>
      </c>
    </row>
    <row r="32" spans="1:16" x14ac:dyDescent="0.2">
      <c r="A32" s="102" t="s">
        <v>26</v>
      </c>
      <c r="B32" s="136" t="s">
        <v>20</v>
      </c>
      <c r="C32" s="229"/>
      <c r="D32" s="229"/>
      <c r="E32" s="229"/>
      <c r="F32" s="122">
        <f>+G8</f>
        <v>132.19113965280667</v>
      </c>
      <c r="G32" s="122"/>
      <c r="H32" s="122"/>
      <c r="I32" s="122"/>
      <c r="J32" s="130"/>
      <c r="K32" s="131">
        <f>+M8</f>
        <v>99.143354739605002</v>
      </c>
      <c r="L32" s="132">
        <f>SUM(F32:J32)</f>
        <v>132.19113965280667</v>
      </c>
      <c r="M32" s="133">
        <f>+($C32+($D32/(Budgetark!$G$6)+$E32*3/4))*$F32+N32+O32/(Budgetark!$G$6)</f>
        <v>0</v>
      </c>
      <c r="N32" s="134">
        <f t="shared" si="0"/>
        <v>0</v>
      </c>
      <c r="O32" s="135">
        <f t="shared" si="1"/>
        <v>0</v>
      </c>
    </row>
    <row r="33" spans="1:18" x14ac:dyDescent="0.2">
      <c r="A33" s="102" t="s">
        <v>26</v>
      </c>
      <c r="B33" s="136" t="s">
        <v>21</v>
      </c>
      <c r="C33" s="229"/>
      <c r="D33" s="229"/>
      <c r="E33" s="229"/>
      <c r="F33" s="122">
        <f>+G8</f>
        <v>132.19113965280667</v>
      </c>
      <c r="G33" s="122"/>
      <c r="H33" s="122"/>
      <c r="I33" s="122">
        <f>+K8</f>
        <v>39.657341895842002</v>
      </c>
      <c r="J33" s="130"/>
      <c r="K33" s="131">
        <f>+M8</f>
        <v>99.143354739605002</v>
      </c>
      <c r="L33" s="132">
        <f>SUM(F33:J33)</f>
        <v>171.84848154864866</v>
      </c>
      <c r="M33" s="133">
        <f>+($C33+($D33/(Budgetark!$G$6)+$E33*3/4))*$F33+N33+O33/(Budgetark!$G$6)</f>
        <v>0</v>
      </c>
      <c r="N33" s="134">
        <f t="shared" si="0"/>
        <v>0</v>
      </c>
      <c r="O33" s="135">
        <f t="shared" si="1"/>
        <v>0</v>
      </c>
    </row>
    <row r="34" spans="1:18" x14ac:dyDescent="0.2">
      <c r="A34" s="102" t="s">
        <v>26</v>
      </c>
      <c r="B34" s="121" t="s">
        <v>22</v>
      </c>
      <c r="C34" s="229"/>
      <c r="D34" s="229"/>
      <c r="E34" s="229"/>
      <c r="F34" s="122">
        <f>+G8</f>
        <v>132.19113965280667</v>
      </c>
      <c r="G34" s="122"/>
      <c r="H34" s="122"/>
      <c r="I34" s="122" t="s">
        <v>19</v>
      </c>
      <c r="J34" s="130">
        <f>+L8</f>
        <v>46.26689887848233</v>
      </c>
      <c r="K34" s="131">
        <f>+M8</f>
        <v>99.143354739605002</v>
      </c>
      <c r="L34" s="132">
        <f>SUM(F34:J34)</f>
        <v>178.45803853128899</v>
      </c>
      <c r="M34" s="133">
        <f>+($C34+($D34/(Budgetark!$G$6)+$E34*3/4))*$F34+N34+O34/(Budgetark!$G$6)</f>
        <v>0</v>
      </c>
      <c r="N34" s="134">
        <f t="shared" si="0"/>
        <v>0</v>
      </c>
      <c r="O34" s="135">
        <f t="shared" si="1"/>
        <v>0</v>
      </c>
    </row>
    <row r="35" spans="1:18" x14ac:dyDescent="0.2">
      <c r="A35" s="43"/>
      <c r="B35" s="8"/>
      <c r="C35" s="138"/>
      <c r="D35" s="138"/>
      <c r="E35" s="138"/>
      <c r="F35" s="138" t="s">
        <v>19</v>
      </c>
      <c r="G35" s="138"/>
      <c r="H35" s="138"/>
      <c r="I35" s="138"/>
      <c r="J35" s="138"/>
      <c r="K35" s="139"/>
      <c r="L35" s="140" t="s">
        <v>19</v>
      </c>
      <c r="M35" s="133"/>
      <c r="N35" s="134"/>
      <c r="O35" s="135"/>
    </row>
    <row r="36" spans="1:18" x14ac:dyDescent="0.2">
      <c r="A36" s="102" t="s">
        <v>27</v>
      </c>
      <c r="B36" s="121" t="s">
        <v>18</v>
      </c>
      <c r="C36" s="229"/>
      <c r="D36" s="229"/>
      <c r="E36" s="229"/>
      <c r="F36" s="122">
        <f>+G8</f>
        <v>132.19113965280667</v>
      </c>
      <c r="G36" s="122"/>
      <c r="H36" s="122"/>
      <c r="I36" s="122" t="s">
        <v>19</v>
      </c>
      <c r="J36" s="130">
        <f>+L8</f>
        <v>46.26689887848233</v>
      </c>
      <c r="K36" s="131">
        <f>+M8</f>
        <v>99.143354739605002</v>
      </c>
      <c r="L36" s="132">
        <f>SUM(F36:J36)</f>
        <v>178.45803853128899</v>
      </c>
      <c r="M36" s="133">
        <f>+($C36+($D36/(Budgetark!$G$6)+$E36*3/4))*$F36+N36+O36/(Budgetark!$G$6)</f>
        <v>0</v>
      </c>
      <c r="N36" s="134">
        <f t="shared" si="0"/>
        <v>0</v>
      </c>
      <c r="O36" s="135">
        <f t="shared" si="1"/>
        <v>0</v>
      </c>
    </row>
    <row r="37" spans="1:18" x14ac:dyDescent="0.2">
      <c r="A37" s="102" t="s">
        <v>27</v>
      </c>
      <c r="B37" s="136" t="s">
        <v>69</v>
      </c>
      <c r="C37" s="229"/>
      <c r="D37" s="229"/>
      <c r="E37" s="229"/>
      <c r="F37" s="122">
        <f>+G8</f>
        <v>132.19113965280667</v>
      </c>
      <c r="G37" s="122"/>
      <c r="H37" s="122"/>
      <c r="I37" s="122"/>
      <c r="J37" s="130"/>
      <c r="K37" s="131">
        <f>+M8</f>
        <v>99.143354739605002</v>
      </c>
      <c r="L37" s="132">
        <f>SUM(F37:J37)</f>
        <v>132.19113965280667</v>
      </c>
      <c r="M37" s="133">
        <f>+($C37+($D37/(Budgetark!$G$6)+$E37*3/4))*$F37+N37+O37/(Budgetark!$G$6)</f>
        <v>0</v>
      </c>
      <c r="N37" s="134">
        <f t="shared" si="0"/>
        <v>0</v>
      </c>
      <c r="O37" s="135">
        <f t="shared" si="1"/>
        <v>0</v>
      </c>
    </row>
    <row r="38" spans="1:18" x14ac:dyDescent="0.2">
      <c r="A38" s="102" t="s">
        <v>27</v>
      </c>
      <c r="B38" s="121" t="s">
        <v>70</v>
      </c>
      <c r="C38" s="229"/>
      <c r="D38" s="229"/>
      <c r="E38" s="229"/>
      <c r="F38" s="122">
        <f>+G8</f>
        <v>132.19113965280667</v>
      </c>
      <c r="G38" s="122" t="s">
        <v>19</v>
      </c>
      <c r="H38" s="122">
        <f>+J8</f>
        <v>39.657341895842002</v>
      </c>
      <c r="I38" s="122" t="s">
        <v>19</v>
      </c>
      <c r="J38" s="130"/>
      <c r="K38" s="131">
        <f>+M8</f>
        <v>99.143354739605002</v>
      </c>
      <c r="L38" s="132">
        <f>SUM(F38:J38)</f>
        <v>171.84848154864866</v>
      </c>
      <c r="M38" s="133">
        <f>+($C38+($D38/(Budgetark!$G$6)+$E38*3/4))*$F38+N38+O38/(Budgetark!$G$6)</f>
        <v>0</v>
      </c>
      <c r="N38" s="134">
        <f t="shared" si="0"/>
        <v>0</v>
      </c>
      <c r="O38" s="135">
        <f t="shared" si="1"/>
        <v>0</v>
      </c>
    </row>
    <row r="39" spans="1:18" x14ac:dyDescent="0.2">
      <c r="A39" s="102" t="s">
        <v>27</v>
      </c>
      <c r="B39" s="121" t="s">
        <v>21</v>
      </c>
      <c r="C39" s="229"/>
      <c r="D39" s="229"/>
      <c r="E39" s="229"/>
      <c r="F39" s="122">
        <f>+G8</f>
        <v>132.19113965280667</v>
      </c>
      <c r="G39" s="122" t="s">
        <v>19</v>
      </c>
      <c r="H39" s="122">
        <f>+J8</f>
        <v>39.657341895842002</v>
      </c>
      <c r="I39" s="122">
        <f>+K8</f>
        <v>39.657341895842002</v>
      </c>
      <c r="J39" s="130"/>
      <c r="K39" s="131">
        <f>+M8</f>
        <v>99.143354739605002</v>
      </c>
      <c r="L39" s="132">
        <f>SUM(F39:J39)</f>
        <v>211.50582344449066</v>
      </c>
      <c r="M39" s="133">
        <f>+($C39+($D39/(Budgetark!$G$6)+$E39*3/4))*$F39+N39+O39/(Budgetark!$G$6)</f>
        <v>0</v>
      </c>
      <c r="N39" s="134">
        <f t="shared" si="0"/>
        <v>0</v>
      </c>
      <c r="O39" s="135">
        <f t="shared" si="1"/>
        <v>0</v>
      </c>
    </row>
    <row r="40" spans="1:18" x14ac:dyDescent="0.2">
      <c r="A40" s="102" t="s">
        <v>27</v>
      </c>
      <c r="B40" s="121" t="s">
        <v>22</v>
      </c>
      <c r="C40" s="229"/>
      <c r="D40" s="229"/>
      <c r="E40" s="229"/>
      <c r="F40" s="122">
        <f>+G8</f>
        <v>132.19113965280667</v>
      </c>
      <c r="G40" s="122" t="s">
        <v>19</v>
      </c>
      <c r="H40" s="122">
        <f>+J8</f>
        <v>39.657341895842002</v>
      </c>
      <c r="I40" s="122" t="s">
        <v>19</v>
      </c>
      <c r="J40" s="130">
        <f>+L8</f>
        <v>46.26689887848233</v>
      </c>
      <c r="K40" s="131">
        <f>+M8</f>
        <v>99.143354739605002</v>
      </c>
      <c r="L40" s="132">
        <f>SUM(F40:J40)</f>
        <v>218.11538042713099</v>
      </c>
      <c r="M40" s="133">
        <f>+($C40+($D40/(Budgetark!$G$6)+$E40*3/4))*$F40+N40+O40/(Budgetark!$G$6)</f>
        <v>0</v>
      </c>
      <c r="N40" s="134">
        <f t="shared" si="0"/>
        <v>0</v>
      </c>
      <c r="O40" s="135">
        <f t="shared" si="1"/>
        <v>0</v>
      </c>
    </row>
    <row r="41" spans="1:18" x14ac:dyDescent="0.2">
      <c r="A41" s="43"/>
      <c r="B41" s="8"/>
      <c r="C41" s="138"/>
      <c r="D41" s="138"/>
      <c r="E41" s="138"/>
      <c r="F41" s="138" t="s">
        <v>19</v>
      </c>
      <c r="G41" s="138"/>
      <c r="H41" s="138"/>
      <c r="I41" s="138"/>
      <c r="J41" s="138"/>
      <c r="K41" s="139"/>
      <c r="L41" s="140" t="s">
        <v>19</v>
      </c>
      <c r="M41" s="133"/>
      <c r="N41" s="134"/>
      <c r="O41" s="135"/>
    </row>
    <row r="42" spans="1:18" x14ac:dyDescent="0.2">
      <c r="A42" s="102" t="s">
        <v>28</v>
      </c>
      <c r="B42" s="121" t="s">
        <v>18</v>
      </c>
      <c r="C42" s="229"/>
      <c r="D42" s="229"/>
      <c r="E42" s="229"/>
      <c r="F42" s="122">
        <f>+G8</f>
        <v>132.19113965280667</v>
      </c>
      <c r="G42" s="122">
        <f>+I8</f>
        <v>66.095569826403334</v>
      </c>
      <c r="H42" s="122"/>
      <c r="I42" s="122" t="s">
        <v>19</v>
      </c>
      <c r="J42" s="130">
        <f>+L8</f>
        <v>46.26689887848233</v>
      </c>
      <c r="K42" s="131">
        <f>+M8</f>
        <v>99.143354739605002</v>
      </c>
      <c r="L42" s="132">
        <f>SUM(F42:J42)</f>
        <v>244.55360835769233</v>
      </c>
      <c r="M42" s="133">
        <f>+($C42+($D42/(Budgetark!$G$6)+$E42*3/4))*$F42+N42+O42/(Budgetark!$G$6)</f>
        <v>0</v>
      </c>
      <c r="N42" s="134">
        <f t="shared" si="0"/>
        <v>0</v>
      </c>
      <c r="O42" s="135">
        <f t="shared" si="1"/>
        <v>0</v>
      </c>
    </row>
    <row r="43" spans="1:18" x14ac:dyDescent="0.2">
      <c r="A43" s="102" t="s">
        <v>28</v>
      </c>
      <c r="B43" s="121" t="s">
        <v>20</v>
      </c>
      <c r="C43" s="229"/>
      <c r="D43" s="229"/>
      <c r="E43" s="229"/>
      <c r="F43" s="122">
        <f>+G8</f>
        <v>132.19113965280667</v>
      </c>
      <c r="G43" s="122">
        <f>+I8</f>
        <v>66.095569826403334</v>
      </c>
      <c r="H43" s="122"/>
      <c r="I43" s="122"/>
      <c r="J43" s="130"/>
      <c r="K43" s="131">
        <f>+M8</f>
        <v>99.143354739605002</v>
      </c>
      <c r="L43" s="132">
        <f>SUM(F43:J43)</f>
        <v>198.28670947921</v>
      </c>
      <c r="M43" s="133">
        <f>+($C43+($D43/(Budgetark!$G$6)+$E43*3/4))*$F43+N43+O43/(Budgetark!$G$6)</f>
        <v>0</v>
      </c>
      <c r="N43" s="134">
        <f t="shared" si="0"/>
        <v>0</v>
      </c>
      <c r="O43" s="135">
        <f t="shared" si="1"/>
        <v>0</v>
      </c>
    </row>
    <row r="44" spans="1:18" x14ac:dyDescent="0.2">
      <c r="A44" s="102" t="s">
        <v>28</v>
      </c>
      <c r="B44" s="121" t="s">
        <v>21</v>
      </c>
      <c r="C44" s="229"/>
      <c r="D44" s="229"/>
      <c r="E44" s="229"/>
      <c r="F44" s="122">
        <f>+G8</f>
        <v>132.19113965280667</v>
      </c>
      <c r="G44" s="122">
        <f>+I8</f>
        <v>66.095569826403334</v>
      </c>
      <c r="H44" s="122"/>
      <c r="I44" s="122">
        <f>+K8</f>
        <v>39.657341895842002</v>
      </c>
      <c r="J44" s="130"/>
      <c r="K44" s="131">
        <f>+M8</f>
        <v>99.143354739605002</v>
      </c>
      <c r="L44" s="132">
        <f>SUM(F44:J44)</f>
        <v>237.944051375052</v>
      </c>
      <c r="M44" s="133">
        <f>+($C44+($D44/(Budgetark!$G$6)+$E44*3/4))*$F44+N44+O44/(Budgetark!$G$6)</f>
        <v>0</v>
      </c>
      <c r="N44" s="134">
        <f t="shared" si="0"/>
        <v>0</v>
      </c>
      <c r="O44" s="135">
        <f t="shared" si="1"/>
        <v>0</v>
      </c>
      <c r="P44" s="141"/>
    </row>
    <row r="45" spans="1:18" ht="13.5" thickBot="1" x14ac:dyDescent="0.25">
      <c r="A45" s="102" t="s">
        <v>28</v>
      </c>
      <c r="B45" s="121" t="s">
        <v>22</v>
      </c>
      <c r="C45" s="229"/>
      <c r="D45" s="229"/>
      <c r="E45" s="229"/>
      <c r="F45" s="122">
        <f>+G8</f>
        <v>132.19113965280667</v>
      </c>
      <c r="G45" s="122">
        <f>+I8</f>
        <v>66.095569826403334</v>
      </c>
      <c r="H45" s="122"/>
      <c r="I45" s="122" t="s">
        <v>19</v>
      </c>
      <c r="J45" s="130">
        <f>+L8</f>
        <v>46.26689887848233</v>
      </c>
      <c r="K45" s="143">
        <f>+M8</f>
        <v>99.143354739605002</v>
      </c>
      <c r="L45" s="144">
        <f>SUM(F45:J45)</f>
        <v>244.55360835769233</v>
      </c>
      <c r="M45" s="133">
        <f>+($C45+($D45/(Budgetark!$G$6)+$E45*3/4))*$F45+N45+O45/(Budgetark!$G$6)</f>
        <v>0</v>
      </c>
      <c r="N45" s="134">
        <f t="shared" si="0"/>
        <v>0</v>
      </c>
      <c r="O45" s="135">
        <f t="shared" si="1"/>
        <v>0</v>
      </c>
    </row>
    <row r="46" spans="1:18" x14ac:dyDescent="0.2">
      <c r="A46" s="145" t="s">
        <v>0</v>
      </c>
      <c r="B46" s="146"/>
      <c r="C46" s="147">
        <f>SUM(C11:C45)</f>
        <v>0</v>
      </c>
      <c r="D46" s="147">
        <f>SUM(D11:D45)</f>
        <v>0</v>
      </c>
      <c r="E46" s="147">
        <f>SUM(E11:E45)</f>
        <v>0</v>
      </c>
      <c r="F46" s="138">
        <f>C46+E46+D46/(Budgetark!G6)</f>
        <v>0</v>
      </c>
      <c r="G46" s="138">
        <f>C42+C43+C44+C45+(D42+D43+D44+D45)/(Budgetark!G6)</f>
        <v>0</v>
      </c>
      <c r="H46" s="148">
        <f>C38+C39+C40+(D38+D39+D40)/(Budgetark!G6)</f>
        <v>0</v>
      </c>
      <c r="I46" s="148">
        <f>C13+C23+C28+C33+C39+C44+C18+(D13+D23+D28+D33+D39+D44+D18)/(Budgetark!G6)</f>
        <v>0</v>
      </c>
      <c r="J46" s="148">
        <f>C11+(D11+D14+D16+D19+D21+D24+D26+D29+D31+D34+D36+D40+D42+D45)/(Budgetark!G6)+C14+C16+C19+C21+C24+C26+C29+C31+C34+C36+C40+C42+C45</f>
        <v>0</v>
      </c>
      <c r="K46" s="138"/>
      <c r="L46" s="138"/>
      <c r="M46" s="12"/>
      <c r="N46" s="141">
        <f>SUM(N11:N45)</f>
        <v>0</v>
      </c>
      <c r="O46" s="141">
        <f>SUM(O11:O45)</f>
        <v>0</v>
      </c>
      <c r="P46" s="149"/>
      <c r="Q46" s="150"/>
    </row>
    <row r="47" spans="1:18" x14ac:dyDescent="0.2">
      <c r="A47" s="151"/>
      <c r="B47" s="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2"/>
      <c r="N47" s="137"/>
      <c r="O47" s="150"/>
      <c r="P47" s="150"/>
      <c r="Q47" s="150"/>
      <c r="R47" s="150"/>
    </row>
    <row r="48" spans="1:18" x14ac:dyDescent="0.2">
      <c r="A48" s="43"/>
      <c r="B48" s="8"/>
      <c r="C48" s="138"/>
      <c r="D48" s="138"/>
      <c r="E48" s="138"/>
      <c r="F48" s="138" t="s">
        <v>29</v>
      </c>
      <c r="G48" s="138" t="s">
        <v>30</v>
      </c>
      <c r="H48" s="138"/>
      <c r="I48" s="138"/>
      <c r="J48" s="138"/>
      <c r="K48" s="138"/>
      <c r="L48" s="138"/>
      <c r="M48" s="12"/>
      <c r="O48" s="150"/>
      <c r="P48" s="150"/>
      <c r="Q48" s="150"/>
      <c r="R48" s="150"/>
    </row>
    <row r="49" spans="1:23" ht="13.5" x14ac:dyDescent="0.2">
      <c r="A49" s="152" t="s">
        <v>71</v>
      </c>
      <c r="B49" s="153"/>
      <c r="C49" s="154"/>
      <c r="D49" s="154"/>
      <c r="E49" s="86">
        <f>(C46+E46)/7+D46/(E6-C6+1)</f>
        <v>0</v>
      </c>
      <c r="F49" s="155">
        <v>9</v>
      </c>
      <c r="G49" s="122">
        <f>G8*Forudsætninger!B44</f>
        <v>66.095569826403334</v>
      </c>
      <c r="H49" s="156"/>
      <c r="I49" s="123"/>
      <c r="J49" s="138"/>
      <c r="K49" s="157" t="s">
        <v>31</v>
      </c>
      <c r="L49" s="147"/>
      <c r="M49" s="89">
        <f>E49*F49*G49/(Budgetark!G7)</f>
        <v>0</v>
      </c>
      <c r="O49" s="150"/>
      <c r="P49" s="150"/>
      <c r="Q49" s="158"/>
      <c r="R49" s="150"/>
    </row>
    <row r="50" spans="1:23" x14ac:dyDescent="0.2">
      <c r="A50" s="159"/>
      <c r="B50" s="160"/>
      <c r="C50" s="123"/>
      <c r="D50" s="123"/>
      <c r="E50" s="123" t="s">
        <v>32</v>
      </c>
      <c r="F50" s="161" t="s">
        <v>33</v>
      </c>
      <c r="G50" s="123"/>
      <c r="H50" s="123"/>
      <c r="I50" s="123"/>
      <c r="J50" s="123"/>
      <c r="K50" s="123"/>
      <c r="L50" s="123"/>
      <c r="M50" s="162"/>
      <c r="O50" s="150"/>
      <c r="P50" s="150"/>
      <c r="Q50" s="158"/>
      <c r="R50" s="150"/>
    </row>
    <row r="51" spans="1:23" x14ac:dyDescent="0.2">
      <c r="A51" s="152" t="s">
        <v>230</v>
      </c>
      <c r="B51" s="153"/>
      <c r="C51" s="154"/>
      <c r="D51" s="154"/>
      <c r="E51" s="229">
        <f>+ROUNDUP(($F$46*52.1428571428571)/Forudsætninger!$F$86,0)</f>
        <v>0</v>
      </c>
      <c r="F51" s="230">
        <v>0</v>
      </c>
      <c r="G51" s="154">
        <f>+G8</f>
        <v>132.19113965280667</v>
      </c>
      <c r="H51" s="123"/>
      <c r="I51" s="123"/>
      <c r="J51" s="138"/>
      <c r="K51" s="157" t="s">
        <v>31</v>
      </c>
      <c r="L51" s="147"/>
      <c r="M51" s="163">
        <f>+(E51*F51*G51)/(Budgetark!$G$7)</f>
        <v>0</v>
      </c>
      <c r="Q51" s="158"/>
      <c r="R51" s="150"/>
    </row>
    <row r="52" spans="1:23" x14ac:dyDescent="0.2">
      <c r="A52" s="159"/>
      <c r="B52" s="160"/>
      <c r="C52" s="123"/>
      <c r="D52" s="123"/>
      <c r="E52" s="123"/>
      <c r="F52" s="161"/>
      <c r="G52" s="164"/>
      <c r="H52" s="123"/>
      <c r="I52" s="123"/>
      <c r="J52" s="138"/>
      <c r="K52" s="138"/>
      <c r="L52" s="138"/>
      <c r="M52" s="94"/>
    </row>
    <row r="53" spans="1:23" x14ac:dyDescent="0.2">
      <c r="A53" s="152" t="s">
        <v>92</v>
      </c>
      <c r="B53" s="153"/>
      <c r="C53" s="154"/>
      <c r="D53" s="154"/>
      <c r="E53" s="229">
        <f>+ROUNDUP(E51*0.3,0)</f>
        <v>0</v>
      </c>
      <c r="F53" s="230">
        <v>0</v>
      </c>
      <c r="G53" s="352" t="e">
        <f>+SUM(M11:M45)/F46</f>
        <v>#DIV/0!</v>
      </c>
      <c r="H53" s="123"/>
      <c r="I53" s="123"/>
      <c r="J53" s="138"/>
      <c r="K53" s="157" t="s">
        <v>31</v>
      </c>
      <c r="L53" s="147"/>
      <c r="M53" s="163" t="e">
        <f>+E53*F53*G53/(Budgetark!$G$7)</f>
        <v>#DIV/0!</v>
      </c>
      <c r="Q53" s="158"/>
    </row>
    <row r="54" spans="1:23" x14ac:dyDescent="0.2">
      <c r="A54" s="159"/>
      <c r="B54" s="160"/>
      <c r="C54" s="123"/>
      <c r="D54" s="123"/>
      <c r="E54" s="123" t="s">
        <v>1</v>
      </c>
      <c r="F54" s="123" t="s">
        <v>297</v>
      </c>
      <c r="G54" s="164"/>
      <c r="H54" s="123"/>
      <c r="I54" s="123"/>
      <c r="J54" s="138"/>
      <c r="K54" s="138"/>
      <c r="L54" s="138"/>
      <c r="M54" s="94"/>
    </row>
    <row r="55" spans="1:23" x14ac:dyDescent="0.2">
      <c r="A55" s="152" t="s">
        <v>34</v>
      </c>
      <c r="B55" s="153"/>
      <c r="C55" s="154"/>
      <c r="D55" s="154"/>
      <c r="E55" s="231">
        <v>0</v>
      </c>
      <c r="F55" s="165">
        <f>(F46-E46/4)*Budgetark!G6+(E51*F51+E53*F53)*Budgetark!G6/Budgetark!G7</f>
        <v>0</v>
      </c>
      <c r="G55" s="166"/>
      <c r="H55" s="123"/>
      <c r="I55" s="123"/>
      <c r="J55" s="138"/>
      <c r="K55" s="157" t="s">
        <v>31</v>
      </c>
      <c r="L55" s="147"/>
      <c r="M55" s="94">
        <f>(E55*F55)/(Budgetark!$G$6)</f>
        <v>0</v>
      </c>
      <c r="Q55" s="158"/>
    </row>
    <row r="56" spans="1:23" x14ac:dyDescent="0.2">
      <c r="A56" s="159"/>
      <c r="B56" s="160"/>
      <c r="C56" s="123"/>
      <c r="D56" s="123"/>
      <c r="E56" s="123" t="s">
        <v>36</v>
      </c>
      <c r="F56" s="161"/>
      <c r="G56" s="123"/>
      <c r="H56" s="123"/>
      <c r="I56" s="123"/>
      <c r="J56" s="123"/>
      <c r="K56" s="123"/>
      <c r="L56" s="123"/>
      <c r="M56" s="167"/>
    </row>
    <row r="57" spans="1:23" x14ac:dyDescent="0.2">
      <c r="A57" s="152" t="s">
        <v>35</v>
      </c>
      <c r="B57" s="153"/>
      <c r="C57" s="154"/>
      <c r="D57" s="154"/>
      <c r="E57" s="168" t="e">
        <f>SUM(M11:M51)+((M61+M62+M63)/3)+M55+M53</f>
        <v>#DIV/0!</v>
      </c>
      <c r="F57" s="166">
        <f>+Forudsætninger!B48</f>
        <v>0.125</v>
      </c>
      <c r="G57" s="166"/>
      <c r="H57" s="123"/>
      <c r="I57" s="123"/>
      <c r="J57" s="138"/>
      <c r="K57" s="157" t="s">
        <v>31</v>
      </c>
      <c r="L57" s="147"/>
      <c r="M57" s="94" t="e">
        <f>E57*F57</f>
        <v>#DIV/0!</v>
      </c>
      <c r="N57" s="112"/>
      <c r="P57" s="169"/>
      <c r="Q57" s="158"/>
      <c r="U57" s="112"/>
    </row>
    <row r="58" spans="1:23" x14ac:dyDescent="0.2">
      <c r="A58" s="159"/>
      <c r="B58" s="160"/>
      <c r="C58" s="123"/>
      <c r="D58" s="123"/>
      <c r="E58" s="123" t="s">
        <v>36</v>
      </c>
      <c r="F58" s="150"/>
      <c r="G58" s="164"/>
      <c r="H58" s="123"/>
      <c r="I58" s="123"/>
      <c r="J58" s="138"/>
      <c r="K58" s="138"/>
      <c r="L58" s="138"/>
      <c r="M58" s="94"/>
      <c r="R58" s="113"/>
      <c r="S58" s="113"/>
      <c r="T58" s="112"/>
    </row>
    <row r="59" spans="1:23" x14ac:dyDescent="0.2">
      <c r="A59" s="152" t="s">
        <v>232</v>
      </c>
      <c r="B59" s="153"/>
      <c r="C59" s="154"/>
      <c r="D59" s="232" t="s">
        <v>294</v>
      </c>
      <c r="E59" s="168" t="e">
        <f>E57</f>
        <v>#DIV/0!</v>
      </c>
      <c r="F59" s="166">
        <f>+IF(D59="Ja",Forudsætninger!B49,0)</f>
        <v>0</v>
      </c>
      <c r="G59" s="166"/>
      <c r="H59" s="123"/>
      <c r="I59" s="123"/>
      <c r="J59" s="138"/>
      <c r="K59" s="157" t="s">
        <v>31</v>
      </c>
      <c r="L59" s="147"/>
      <c r="M59" s="94" t="e">
        <f>E59*F59</f>
        <v>#DIV/0!</v>
      </c>
      <c r="P59" s="170"/>
      <c r="Q59" s="158"/>
      <c r="R59" s="137"/>
      <c r="S59" s="137"/>
    </row>
    <row r="60" spans="1:23" x14ac:dyDescent="0.2">
      <c r="A60" s="159"/>
      <c r="B60" s="160"/>
      <c r="C60" s="123"/>
      <c r="D60" s="123"/>
      <c r="E60" s="123" t="s">
        <v>36</v>
      </c>
      <c r="F60" s="161" t="s">
        <v>38</v>
      </c>
      <c r="G60" s="123"/>
      <c r="H60" s="123"/>
      <c r="I60" s="123"/>
      <c r="J60" s="138"/>
      <c r="K60" s="138"/>
      <c r="L60" s="138"/>
      <c r="M60" s="94"/>
      <c r="N60" s="112"/>
      <c r="P60" s="112"/>
      <c r="Q60" s="112"/>
      <c r="U60" s="112"/>
      <c r="V60" s="112"/>
    </row>
    <row r="61" spans="1:23" x14ac:dyDescent="0.2">
      <c r="A61" s="152" t="s">
        <v>39</v>
      </c>
      <c r="B61" s="153"/>
      <c r="C61" s="154"/>
      <c r="D61" s="154"/>
      <c r="E61" s="171">
        <f>(F55/Budgetark!G6)*G8</f>
        <v>0</v>
      </c>
      <c r="F61" s="166">
        <f>+Forudsætninger!B52</f>
        <v>0.12889999999999999</v>
      </c>
      <c r="G61" s="122"/>
      <c r="H61" s="123"/>
      <c r="I61" s="123"/>
      <c r="J61" s="138"/>
      <c r="K61" s="157" t="s">
        <v>31</v>
      </c>
      <c r="L61" s="147"/>
      <c r="M61" s="163">
        <f>E61*F61</f>
        <v>0</v>
      </c>
      <c r="N61" s="112"/>
      <c r="P61" s="112"/>
      <c r="Q61" s="158"/>
      <c r="R61" s="112"/>
      <c r="S61" s="172"/>
      <c r="T61" s="112"/>
      <c r="U61" s="112"/>
      <c r="V61" s="112"/>
      <c r="W61" s="112"/>
    </row>
    <row r="62" spans="1:23" x14ac:dyDescent="0.2">
      <c r="A62" s="152" t="s">
        <v>40</v>
      </c>
      <c r="B62" s="153"/>
      <c r="C62" s="154"/>
      <c r="D62" s="154"/>
      <c r="E62" s="171">
        <f>I46*K8+J46*L8</f>
        <v>0</v>
      </c>
      <c r="F62" s="166">
        <f>+Forudsætninger!B53</f>
        <v>0.05</v>
      </c>
      <c r="G62" s="122"/>
      <c r="H62" s="123"/>
      <c r="I62" s="123"/>
      <c r="J62" s="138"/>
      <c r="K62" s="157" t="s">
        <v>31</v>
      </c>
      <c r="L62" s="147"/>
      <c r="M62" s="163">
        <f>E62*F62</f>
        <v>0</v>
      </c>
      <c r="N62" s="173"/>
      <c r="P62" s="173"/>
      <c r="Q62" s="158"/>
      <c r="R62" s="112"/>
      <c r="S62" s="112"/>
      <c r="T62" s="112"/>
      <c r="U62" s="173"/>
      <c r="V62" s="112"/>
      <c r="W62" s="112"/>
    </row>
    <row r="63" spans="1:23" x14ac:dyDescent="0.2">
      <c r="A63" s="152" t="s">
        <v>99</v>
      </c>
      <c r="B63" s="153"/>
      <c r="C63" s="154"/>
      <c r="D63" s="154"/>
      <c r="E63" s="171">
        <f>G46*I8+H46*J8+M49</f>
        <v>0</v>
      </c>
      <c r="F63" s="166">
        <f>+Forudsætninger!B54</f>
        <v>0.01</v>
      </c>
      <c r="G63" s="122"/>
      <c r="H63" s="123"/>
      <c r="I63" s="123"/>
      <c r="J63" s="138"/>
      <c r="K63" s="157" t="s">
        <v>31</v>
      </c>
      <c r="L63" s="147"/>
      <c r="M63" s="163">
        <f>E63*F63</f>
        <v>0</v>
      </c>
      <c r="N63" s="173"/>
      <c r="P63" s="173"/>
      <c r="R63" s="112"/>
      <c r="S63" s="112"/>
      <c r="T63" s="112"/>
      <c r="U63" s="173"/>
      <c r="V63" s="112"/>
      <c r="W63" s="112"/>
    </row>
    <row r="64" spans="1:23" x14ac:dyDescent="0.2">
      <c r="A64" s="174"/>
      <c r="B64" s="175"/>
      <c r="C64" s="176"/>
      <c r="D64" s="176"/>
      <c r="E64" s="123" t="s">
        <v>2</v>
      </c>
      <c r="F64" s="123" t="s">
        <v>82</v>
      </c>
      <c r="G64" s="138" t="s">
        <v>46</v>
      </c>
      <c r="K64" s="138"/>
      <c r="L64" s="138"/>
      <c r="M64" s="177"/>
      <c r="R64" s="173"/>
      <c r="S64" s="173"/>
      <c r="T64" s="173"/>
    </row>
    <row r="65" spans="1:21" x14ac:dyDescent="0.2">
      <c r="A65" s="152" t="s">
        <v>209</v>
      </c>
      <c r="B65" s="178"/>
      <c r="C65" s="179"/>
      <c r="D65" s="179"/>
      <c r="E65" s="180">
        <f>(F46*Budgetark!G7+$E$51*$F$51+$E$53*$F$53)/Forudsætninger!$F$86*Forudsætninger!$F$81/(Budgetark!G7)</f>
        <v>0</v>
      </c>
      <c r="F65" s="181">
        <f>(F46*Budgetark!G7+$E$51*$F$51+$E$53*$F$53)/Forudsætninger!$F$86*(Forudsætninger!$F$83+Forudsætninger!$F$84)/(Budgetark!G7)</f>
        <v>0</v>
      </c>
      <c r="G65" s="182">
        <f>(F46*Budgetark!G7+$E$51*$F$51+$E$53*$F$53)/Forudsætninger!$F$86*Forudsætninger!$F$82/(Budgetark!G7)</f>
        <v>0</v>
      </c>
      <c r="K65" s="157" t="s">
        <v>31</v>
      </c>
      <c r="L65" s="147"/>
      <c r="M65" s="89">
        <f>E65+F65+G65</f>
        <v>0</v>
      </c>
      <c r="P65" s="112"/>
      <c r="Q65" s="158"/>
      <c r="R65" s="183"/>
      <c r="U65" s="112"/>
    </row>
    <row r="66" spans="1:21" x14ac:dyDescent="0.2">
      <c r="A66" s="184"/>
      <c r="B66" s="160"/>
      <c r="C66" s="123"/>
      <c r="D66" s="123"/>
      <c r="E66" s="123" t="s">
        <v>161</v>
      </c>
      <c r="F66" s="185" t="s">
        <v>275</v>
      </c>
      <c r="G66" s="164"/>
      <c r="H66" s="186"/>
      <c r="I66" s="186"/>
      <c r="J66" s="186"/>
      <c r="K66" s="138"/>
      <c r="L66" s="138"/>
      <c r="M66" s="94"/>
      <c r="P66" s="112"/>
      <c r="Q66" s="158"/>
      <c r="R66" s="183"/>
      <c r="U66" s="112"/>
    </row>
    <row r="67" spans="1:21" x14ac:dyDescent="0.2">
      <c r="A67" s="187" t="s">
        <v>279</v>
      </c>
      <c r="B67" s="153"/>
      <c r="C67" s="154"/>
      <c r="D67" s="122"/>
      <c r="E67" s="86">
        <f>Forudsætninger!D100</f>
        <v>19</v>
      </c>
      <c r="F67" s="229">
        <f>+ROUNDUP(($F$46*52.1428571428571)/Forudsætninger!$F$86,0)</f>
        <v>0</v>
      </c>
      <c r="G67" s="166"/>
      <c r="H67" s="186"/>
      <c r="I67" s="186"/>
      <c r="J67" s="186"/>
      <c r="K67" s="157" t="s">
        <v>31</v>
      </c>
      <c r="L67" s="147"/>
      <c r="M67" s="89">
        <f>E67*F67/Budgetark!G7</f>
        <v>0</v>
      </c>
      <c r="P67" s="112"/>
      <c r="Q67" s="158"/>
      <c r="R67" s="183"/>
      <c r="U67" s="112"/>
    </row>
    <row r="68" spans="1:21" x14ac:dyDescent="0.2">
      <c r="A68" s="159"/>
      <c r="B68" s="160"/>
      <c r="C68" s="123"/>
      <c r="D68" s="123"/>
      <c r="E68" s="123"/>
      <c r="F68" s="161"/>
      <c r="G68" s="123" t="s">
        <v>84</v>
      </c>
      <c r="H68" s="123"/>
      <c r="I68" s="123"/>
      <c r="J68" s="123"/>
      <c r="K68" s="123"/>
      <c r="L68" s="123"/>
      <c r="M68" s="12"/>
      <c r="R68" s="172"/>
      <c r="S68" s="172"/>
      <c r="T68" s="112"/>
    </row>
    <row r="69" spans="1:21" x14ac:dyDescent="0.2">
      <c r="A69" s="187" t="s">
        <v>42</v>
      </c>
      <c r="B69" s="153"/>
      <c r="C69" s="154"/>
      <c r="D69" s="154"/>
      <c r="E69" s="86"/>
      <c r="F69" s="165"/>
      <c r="G69" s="154">
        <f>+Forudsætninger!B58</f>
        <v>0.45</v>
      </c>
      <c r="H69" s="123"/>
      <c r="I69" s="123"/>
      <c r="J69" s="123"/>
      <c r="K69" s="157" t="s">
        <v>31</v>
      </c>
      <c r="L69" s="147"/>
      <c r="M69" s="89">
        <f>(F46+($E$51*$F$51+$E$53*$F$53)/Budgetark!G7)*G69</f>
        <v>0</v>
      </c>
    </row>
    <row r="70" spans="1:21" ht="22.5" customHeight="1" x14ac:dyDescent="0.2">
      <c r="A70" s="159"/>
      <c r="B70" s="160"/>
      <c r="C70" s="123"/>
      <c r="D70" s="123"/>
      <c r="E70" s="138" t="s">
        <v>161</v>
      </c>
      <c r="F70" s="188" t="s">
        <v>163</v>
      </c>
      <c r="G70" s="189" t="s">
        <v>162</v>
      </c>
      <c r="H70" s="123"/>
      <c r="I70" s="123"/>
      <c r="J70" s="123"/>
      <c r="K70" s="123"/>
      <c r="L70" s="123"/>
      <c r="M70" s="12"/>
    </row>
    <row r="71" spans="1:21" x14ac:dyDescent="0.2">
      <c r="A71" s="187" t="s">
        <v>301</v>
      </c>
      <c r="B71" s="190"/>
      <c r="C71" s="191"/>
      <c r="D71" s="154"/>
      <c r="E71" s="86">
        <f>Forudsætninger!D65*G8</f>
        <v>66.095569826403334</v>
      </c>
      <c r="F71" s="231">
        <v>0</v>
      </c>
      <c r="G71" s="233">
        <v>0</v>
      </c>
      <c r="H71" s="192"/>
      <c r="I71" s="192"/>
      <c r="J71" s="192"/>
      <c r="K71" s="157" t="s">
        <v>31</v>
      </c>
      <c r="L71" s="193"/>
      <c r="M71" s="89">
        <f>+E71*F71*G71/(Budgetark!G6)</f>
        <v>0</v>
      </c>
    </row>
    <row r="72" spans="1:21" x14ac:dyDescent="0.2">
      <c r="A72" s="159"/>
      <c r="B72" s="160"/>
      <c r="C72" s="123"/>
      <c r="D72" s="123"/>
      <c r="E72" s="138" t="s">
        <v>161</v>
      </c>
      <c r="F72" s="161"/>
      <c r="G72" s="189"/>
      <c r="H72" s="123"/>
      <c r="I72" s="123"/>
      <c r="J72" s="123"/>
      <c r="K72" s="123"/>
      <c r="L72" s="123"/>
      <c r="M72" s="12"/>
    </row>
    <row r="73" spans="1:21" x14ac:dyDescent="0.2">
      <c r="A73" s="187" t="s">
        <v>302</v>
      </c>
      <c r="B73" s="190"/>
      <c r="C73" s="191"/>
      <c r="D73" s="154"/>
      <c r="E73" s="86">
        <f>+Forudsætninger!D69</f>
        <v>400</v>
      </c>
      <c r="F73" s="165"/>
      <c r="G73" s="233">
        <v>0</v>
      </c>
      <c r="H73" s="192"/>
      <c r="I73" s="192"/>
      <c r="J73" s="192"/>
      <c r="K73" s="157" t="s">
        <v>31</v>
      </c>
      <c r="L73" s="193"/>
      <c r="M73" s="89">
        <f>+E73*G73/(Budgetark!G6)</f>
        <v>0</v>
      </c>
    </row>
    <row r="74" spans="1:21" ht="21.75" x14ac:dyDescent="0.2">
      <c r="A74" s="159"/>
      <c r="B74" s="160"/>
      <c r="C74" s="123"/>
      <c r="D74" s="123"/>
      <c r="E74" s="138" t="s">
        <v>161</v>
      </c>
      <c r="F74" s="161" t="s">
        <v>231</v>
      </c>
      <c r="G74" s="189" t="s">
        <v>165</v>
      </c>
      <c r="H74" s="123"/>
      <c r="I74" s="123"/>
      <c r="J74" s="123"/>
      <c r="K74" s="123"/>
      <c r="L74" s="123"/>
      <c r="M74" s="12"/>
    </row>
    <row r="75" spans="1:21" x14ac:dyDescent="0.2">
      <c r="A75" s="187" t="s">
        <v>303</v>
      </c>
      <c r="B75" s="190"/>
      <c r="C75" s="191"/>
      <c r="D75" s="154"/>
      <c r="E75" s="86">
        <f>+G8*Forudsætninger!D73</f>
        <v>66.095569826403334</v>
      </c>
      <c r="F75" s="231">
        <v>0</v>
      </c>
      <c r="G75" s="233">
        <v>0</v>
      </c>
      <c r="H75" s="192"/>
      <c r="I75" s="192"/>
      <c r="J75" s="192"/>
      <c r="K75" s="157" t="s">
        <v>31</v>
      </c>
      <c r="L75" s="193"/>
      <c r="M75" s="89">
        <f>+E75*F75*G75/(Budgetark!G6)</f>
        <v>0</v>
      </c>
    </row>
    <row r="76" spans="1:21" ht="24.75" customHeight="1" x14ac:dyDescent="0.2">
      <c r="A76" s="159"/>
      <c r="B76" s="160"/>
      <c r="C76" s="123"/>
      <c r="D76" s="123"/>
      <c r="E76" s="138" t="s">
        <v>183</v>
      </c>
      <c r="F76" s="188" t="s">
        <v>182</v>
      </c>
      <c r="G76" s="123"/>
      <c r="H76" s="123"/>
      <c r="I76" s="123"/>
      <c r="J76" s="123"/>
      <c r="K76" s="123"/>
      <c r="L76" s="123"/>
      <c r="M76" s="12"/>
    </row>
    <row r="77" spans="1:21" x14ac:dyDescent="0.2">
      <c r="A77" s="187" t="s">
        <v>117</v>
      </c>
      <c r="B77" s="190"/>
      <c r="C77" s="191"/>
      <c r="D77" s="154"/>
      <c r="E77" s="86">
        <f>+Forudsætninger!F85</f>
        <v>295</v>
      </c>
      <c r="F77" s="194">
        <f>(F46*Budgetark!G7+$E$51*$F$51+$E$53*$F$53)/Forudsætninger!F86</f>
        <v>0</v>
      </c>
      <c r="G77" s="194"/>
      <c r="H77" s="192"/>
      <c r="J77" s="192"/>
      <c r="K77" s="157" t="s">
        <v>31</v>
      </c>
      <c r="L77" s="193"/>
      <c r="M77" s="89">
        <f>+E77*F77/(Budgetark!G7)</f>
        <v>0</v>
      </c>
    </row>
    <row r="78" spans="1:21" ht="13.5" thickBot="1" x14ac:dyDescent="0.25">
      <c r="A78" s="43"/>
      <c r="B78" s="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2"/>
      <c r="R78" s="124"/>
    </row>
    <row r="79" spans="1:21" ht="13.5" thickBot="1" x14ac:dyDescent="0.25">
      <c r="A79" s="195" t="s">
        <v>43</v>
      </c>
      <c r="B79" s="196"/>
      <c r="C79" s="196"/>
      <c r="D79" s="196"/>
      <c r="E79" s="196"/>
      <c r="F79" s="196"/>
      <c r="G79" s="196"/>
      <c r="H79" s="196"/>
      <c r="I79" s="196"/>
      <c r="J79" s="196"/>
      <c r="K79" s="196"/>
      <c r="L79" s="196"/>
      <c r="M79" s="197" t="e">
        <f>SUM(M11:M78)</f>
        <v>#DIV/0!</v>
      </c>
    </row>
    <row r="80" spans="1:2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4" x14ac:dyDescent="0.2">
      <c r="A81" s="8" t="s">
        <v>44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198" t="e">
        <f>M79*(Budgetark!G6)</f>
        <v>#DIV/0!</v>
      </c>
      <c r="N81" s="141"/>
    </row>
    <row r="82" spans="1:14" x14ac:dyDescent="0.2">
      <c r="A82" s="199" t="s">
        <v>45</v>
      </c>
      <c r="B82" s="199"/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200" t="e">
        <f>M81*(1+IF(F8=11,Forudsætninger!F93,(VLOOKUP(YEAR(C6),Tabel1[],2,FALSE))/100))</f>
        <v>#DIV/0!</v>
      </c>
      <c r="N82" s="141"/>
    </row>
    <row r="83" spans="1:14" x14ac:dyDescent="0.2">
      <c r="A83" s="8" t="s">
        <v>62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201" t="e">
        <f>M81/(Budgetark!$G$6/(Budgetark!$G$7/12))</f>
        <v>#DIV/0!</v>
      </c>
    </row>
    <row r="84" spans="1:14" x14ac:dyDescent="0.2">
      <c r="A84" s="199" t="s">
        <v>63</v>
      </c>
      <c r="B84" s="199"/>
      <c r="C84" s="199"/>
      <c r="D84" s="199"/>
      <c r="E84" s="199"/>
      <c r="F84" s="199"/>
      <c r="G84" s="199"/>
      <c r="H84" s="199"/>
      <c r="I84" s="199"/>
      <c r="J84" s="199"/>
      <c r="K84" s="199"/>
      <c r="L84" s="199"/>
      <c r="M84" s="200" t="e">
        <f>M82/(Budgetark!$G$6/(Budgetark!$G$7/12))</f>
        <v>#DIV/0!</v>
      </c>
    </row>
    <row r="85" spans="1:14" x14ac:dyDescent="0.2">
      <c r="A85" s="160" t="s">
        <v>233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202" t="e">
        <f>(M81)/(Budgetark!G16-Budgetark!G15)</f>
        <v>#DIV/0!</v>
      </c>
    </row>
    <row r="86" spans="1:14" x14ac:dyDescent="0.2">
      <c r="A86" s="199" t="s">
        <v>234</v>
      </c>
      <c r="B86" s="203"/>
      <c r="C86" s="203"/>
      <c r="D86" s="203"/>
      <c r="E86" s="203"/>
      <c r="F86" s="203"/>
      <c r="G86" s="203"/>
      <c r="H86" s="204"/>
      <c r="I86" s="203"/>
      <c r="J86" s="203"/>
      <c r="K86" s="203"/>
      <c r="L86" s="203"/>
      <c r="M86" s="353" t="e">
        <f>M85*(1+IF(F8=11,Forudsætninger!F93,VLOOKUP(YEAR(C6),Tabel1[],2,FALSE)/100))</f>
        <v>#DIV/0!</v>
      </c>
    </row>
    <row r="87" spans="1:14" x14ac:dyDescent="0.2">
      <c r="A87" s="160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205"/>
      <c r="N87" s="141"/>
    </row>
    <row r="88" spans="1:14" x14ac:dyDescent="0.2">
      <c r="A88" s="160" t="s">
        <v>274</v>
      </c>
      <c r="B88" s="8"/>
      <c r="C88" s="8"/>
      <c r="D88" s="8"/>
      <c r="E88" s="206">
        <f>Administration!D9</f>
        <v>0</v>
      </c>
      <c r="F88" s="8"/>
      <c r="G88" s="8"/>
      <c r="H88" s="8"/>
      <c r="I88" s="8"/>
      <c r="J88" s="8"/>
      <c r="K88" s="8"/>
      <c r="L88" s="8"/>
      <c r="M88" s="205" t="e">
        <f>+M82*E88</f>
        <v>#DIV/0!</v>
      </c>
      <c r="N88" s="141"/>
    </row>
    <row r="89" spans="1:14" x14ac:dyDescent="0.2">
      <c r="A89" s="199" t="s">
        <v>152</v>
      </c>
      <c r="B89" s="203"/>
      <c r="C89" s="203"/>
      <c r="D89" s="203"/>
      <c r="E89" s="203"/>
      <c r="F89" s="203"/>
      <c r="G89" s="203"/>
      <c r="H89" s="203"/>
      <c r="I89" s="204"/>
      <c r="J89" s="203"/>
      <c r="K89" s="203"/>
      <c r="L89" s="203"/>
      <c r="M89" s="207" t="e">
        <f>M88/(Budgetark!$G$6*7/(Budgetark!$G$7*7/12))</f>
        <v>#DIV/0!</v>
      </c>
    </row>
    <row r="90" spans="1:14" x14ac:dyDescent="0.2">
      <c r="H90" s="141"/>
      <c r="M90" s="208"/>
    </row>
    <row r="91" spans="1:14" ht="21.75" x14ac:dyDescent="0.2">
      <c r="A91" s="3" t="s">
        <v>83</v>
      </c>
      <c r="D91" s="310" t="s">
        <v>432</v>
      </c>
      <c r="E91" s="123" t="s">
        <v>94</v>
      </c>
      <c r="F91" s="310"/>
      <c r="G91" s="123" t="s">
        <v>84</v>
      </c>
      <c r="M91" s="123" t="s">
        <v>97</v>
      </c>
    </row>
    <row r="92" spans="1:14" x14ac:dyDescent="0.2">
      <c r="A92" s="152" t="s">
        <v>111</v>
      </c>
      <c r="B92" s="153"/>
      <c r="C92" s="154"/>
      <c r="D92" s="231" t="s">
        <v>294</v>
      </c>
      <c r="E92" s="86">
        <f>F46*Budgetark!G6+($E$51*$F$51+$E$53*$F$53+$E$96*$F$96)*Budgetark!G6/Budgetark!G7</f>
        <v>0</v>
      </c>
      <c r="F92" s="194"/>
      <c r="G92" s="194">
        <f>+Forudsætninger!E97</f>
        <v>0.79487179487179482</v>
      </c>
      <c r="H92" s="123"/>
      <c r="J92" s="138"/>
      <c r="K92" s="157" t="s">
        <v>86</v>
      </c>
      <c r="L92" s="147"/>
      <c r="M92" s="89">
        <f>IF(D92="Nej",0,E92*G92)</f>
        <v>0</v>
      </c>
    </row>
    <row r="93" spans="1:14" x14ac:dyDescent="0.2">
      <c r="A93" s="159"/>
      <c r="B93" s="160"/>
      <c r="C93" s="123"/>
      <c r="D93" s="123"/>
      <c r="E93" s="123" t="s">
        <v>94</v>
      </c>
      <c r="F93" s="161"/>
      <c r="G93" s="123" t="str">
        <f>+IF(Forudsætninger!$D$111=0,"kr/time","kr/år")</f>
        <v>kr/time</v>
      </c>
      <c r="H93" s="123"/>
      <c r="I93" s="123"/>
      <c r="J93" s="123"/>
      <c r="K93" s="123"/>
      <c r="L93" s="123"/>
      <c r="M93" s="12"/>
    </row>
    <row r="94" spans="1:14" x14ac:dyDescent="0.2">
      <c r="A94" s="187" t="s">
        <v>85</v>
      </c>
      <c r="B94" s="190"/>
      <c r="C94" s="191"/>
      <c r="D94" s="231" t="s">
        <v>294</v>
      </c>
      <c r="E94" s="86">
        <f>IF(Forudsætninger!E111=0,1,E92)</f>
        <v>1</v>
      </c>
      <c r="F94" s="194"/>
      <c r="G94" s="244">
        <f>+IF(Forudsætninger!D111=0,Forudsætninger!E111,Forudsætninger!D111)</f>
        <v>0</v>
      </c>
      <c r="H94" s="192"/>
      <c r="I94" s="192"/>
      <c r="J94" s="192"/>
      <c r="K94" s="157" t="s">
        <v>86</v>
      </c>
      <c r="L94" s="193"/>
      <c r="M94" s="89">
        <f>IF(D94="Nej",0,E94*G94)</f>
        <v>0</v>
      </c>
    </row>
    <row r="95" spans="1:14" x14ac:dyDescent="0.2">
      <c r="A95" s="159"/>
      <c r="B95" s="160"/>
      <c r="C95" s="123"/>
      <c r="D95" s="123"/>
      <c r="E95" s="123" t="s">
        <v>32</v>
      </c>
      <c r="F95" s="161" t="s">
        <v>33</v>
      </c>
      <c r="G95" s="123"/>
      <c r="H95" s="123"/>
      <c r="I95" s="123"/>
      <c r="J95" s="123"/>
      <c r="K95" s="123"/>
      <c r="L95" s="123"/>
      <c r="M95" s="12"/>
    </row>
    <row r="96" spans="1:14" x14ac:dyDescent="0.2">
      <c r="A96" s="187" t="s">
        <v>235</v>
      </c>
      <c r="B96" s="190"/>
      <c r="C96" s="191"/>
      <c r="D96" s="154"/>
      <c r="E96" s="86">
        <f>+E51</f>
        <v>0</v>
      </c>
      <c r="F96" s="231">
        <v>0</v>
      </c>
      <c r="G96" s="194">
        <f>+G8*(1+Forudsætninger!B48)+G8*Forudsætninger!B52+Forudsætninger!G59+G69+SUM(Forudsætninger!F81:F84)/Forudsætninger!F86</f>
        <v>170.3983446545289</v>
      </c>
      <c r="H96" s="192"/>
      <c r="I96" s="186"/>
      <c r="J96" s="192"/>
      <c r="K96" s="157" t="s">
        <v>86</v>
      </c>
      <c r="L96" s="193"/>
      <c r="M96" s="89">
        <f>+E96*F96*G96</f>
        <v>0</v>
      </c>
    </row>
    <row r="97" spans="1:16" x14ac:dyDescent="0.2">
      <c r="A97" s="304"/>
      <c r="B97" s="305"/>
      <c r="C97" s="123"/>
      <c r="D97" s="123"/>
      <c r="E97" s="138" t="s">
        <v>309</v>
      </c>
      <c r="G97" s="188" t="s">
        <v>32</v>
      </c>
      <c r="H97" s="123"/>
      <c r="I97" s="123"/>
      <c r="J97" s="123"/>
      <c r="K97" s="123"/>
      <c r="L97" s="123"/>
      <c r="M97" s="306"/>
    </row>
    <row r="98" spans="1:16" ht="22.5" customHeight="1" x14ac:dyDescent="0.2">
      <c r="A98" s="393" t="s">
        <v>311</v>
      </c>
      <c r="B98" s="394"/>
      <c r="C98" s="395"/>
      <c r="D98" s="307" t="s">
        <v>294</v>
      </c>
      <c r="E98" s="86">
        <f>+Administration!E55</f>
        <v>2039.16</v>
      </c>
      <c r="F98" s="307" t="s">
        <v>294</v>
      </c>
      <c r="G98" s="122">
        <f>IF(F98="Årlige ansatte",Administration!F27,E51)</f>
        <v>0</v>
      </c>
      <c r="H98" s="192"/>
      <c r="I98" s="192"/>
      <c r="J98" s="192"/>
      <c r="K98" s="157" t="s">
        <v>86</v>
      </c>
      <c r="L98" s="193"/>
      <c r="M98" s="89">
        <f>IF(D98="Overhead",+E98*G98*Budgetark!G6/Budgetark!G7,0)</f>
        <v>0</v>
      </c>
    </row>
    <row r="99" spans="1:16" ht="13.5" thickBot="1" x14ac:dyDescent="0.25">
      <c r="A99" s="159"/>
      <c r="B99" s="160"/>
      <c r="C99" s="123"/>
      <c r="D99" s="123"/>
      <c r="E99" s="123"/>
      <c r="F99" s="161"/>
      <c r="G99" s="123"/>
      <c r="H99" s="123"/>
      <c r="I99" s="123"/>
      <c r="J99" s="123"/>
      <c r="K99" s="123"/>
      <c r="L99" s="123"/>
      <c r="M99" s="12"/>
    </row>
    <row r="100" spans="1:16" ht="13.5" thickBot="1" x14ac:dyDescent="0.25">
      <c r="A100" s="195" t="s">
        <v>154</v>
      </c>
      <c r="B100" s="196"/>
      <c r="C100" s="196"/>
      <c r="D100" s="196"/>
      <c r="E100" s="196"/>
      <c r="F100" s="196"/>
      <c r="G100" s="196"/>
      <c r="H100" s="196"/>
      <c r="I100" s="196"/>
      <c r="J100" s="196"/>
      <c r="K100" s="196"/>
      <c r="L100" s="196"/>
      <c r="M100" s="197">
        <f>+SUM(M92:M98)</f>
        <v>0</v>
      </c>
    </row>
    <row r="101" spans="1:16" x14ac:dyDescent="0.2">
      <c r="A101" s="159"/>
      <c r="B101" s="160"/>
      <c r="C101" s="123"/>
      <c r="D101" s="123"/>
      <c r="E101" s="123"/>
      <c r="F101" s="161"/>
      <c r="G101" s="123"/>
      <c r="H101" s="123"/>
      <c r="I101" s="123"/>
      <c r="J101" s="123"/>
      <c r="K101" s="123"/>
      <c r="L101" s="123"/>
      <c r="M101" s="8"/>
      <c r="N101" s="150"/>
    </row>
    <row r="102" spans="1:16" x14ac:dyDescent="0.2">
      <c r="A102" s="160" t="s">
        <v>155</v>
      </c>
      <c r="B102" s="160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210" t="e">
        <f>+(M82+M100-M98)/(Budgetark!G6*7/(Budgetark!G7*7/12))</f>
        <v>#DIV/0!</v>
      </c>
      <c r="N102" s="112"/>
      <c r="O102" s="112"/>
      <c r="P102" s="112"/>
    </row>
    <row r="103" spans="1:16" s="213" customFormat="1" x14ac:dyDescent="0.2">
      <c r="A103" s="211" t="s">
        <v>156</v>
      </c>
      <c r="B103" s="211"/>
      <c r="C103" s="211"/>
      <c r="D103" s="211"/>
      <c r="E103" s="211"/>
      <c r="F103" s="211"/>
      <c r="G103" s="211"/>
      <c r="H103" s="211"/>
      <c r="I103" s="211"/>
      <c r="J103" s="211"/>
      <c r="K103" s="211"/>
      <c r="L103" s="211"/>
      <c r="M103" s="212" t="e">
        <f>+M89+M98/(Budgetark!$G$6/(Budgetark!$G$7/12))</f>
        <v>#DIV/0!</v>
      </c>
      <c r="N103" s="110"/>
      <c r="O103" s="110"/>
      <c r="P103" s="110"/>
    </row>
    <row r="104" spans="1:16" x14ac:dyDescent="0.2">
      <c r="A104" s="159"/>
      <c r="B104" s="160"/>
      <c r="C104" s="123"/>
      <c r="D104" s="123"/>
      <c r="E104" s="123"/>
      <c r="F104" s="161"/>
      <c r="G104" s="123"/>
      <c r="H104" s="123"/>
      <c r="I104" s="123"/>
      <c r="J104" s="123"/>
      <c r="K104" s="123"/>
      <c r="L104" s="123"/>
      <c r="M104" s="8"/>
    </row>
    <row r="105" spans="1:16" x14ac:dyDescent="0.2">
      <c r="A105" s="3" t="s">
        <v>83</v>
      </c>
      <c r="G105" s="123"/>
    </row>
    <row r="106" spans="1:16" x14ac:dyDescent="0.2">
      <c r="A106" s="159"/>
      <c r="B106" s="160"/>
      <c r="C106" s="123"/>
      <c r="D106" s="123"/>
      <c r="E106" s="123" t="s">
        <v>96</v>
      </c>
      <c r="F106" s="161"/>
      <c r="G106" s="123"/>
      <c r="H106" s="123"/>
      <c r="I106" s="123"/>
      <c r="J106" s="123"/>
      <c r="K106" s="123"/>
      <c r="L106" s="123"/>
      <c r="M106" s="8"/>
      <c r="N106" s="150"/>
      <c r="P106" s="150"/>
    </row>
    <row r="107" spans="1:16" x14ac:dyDescent="0.2">
      <c r="A107" s="187" t="s">
        <v>95</v>
      </c>
      <c r="B107" s="190"/>
      <c r="C107" s="191"/>
      <c r="D107" s="191"/>
      <c r="E107" s="234">
        <v>0</v>
      </c>
      <c r="F107" s="209"/>
      <c r="G107" s="194"/>
      <c r="H107" s="192"/>
      <c r="I107" s="192"/>
      <c r="J107" s="192"/>
      <c r="K107" s="157" t="s">
        <v>86</v>
      </c>
      <c r="L107" s="193"/>
      <c r="M107" s="89" t="e">
        <f>+M82*E107</f>
        <v>#DIV/0!</v>
      </c>
    </row>
    <row r="108" spans="1:16" x14ac:dyDescent="0.2">
      <c r="A108" s="159"/>
      <c r="B108" s="160"/>
      <c r="C108" s="123"/>
      <c r="D108" s="123"/>
      <c r="E108" s="123" t="s">
        <v>237</v>
      </c>
      <c r="F108" s="161"/>
      <c r="G108" s="123"/>
      <c r="H108" s="123"/>
      <c r="I108" s="123"/>
      <c r="J108" s="123"/>
      <c r="K108" s="123"/>
      <c r="L108" s="123"/>
      <c r="M108" s="12"/>
    </row>
    <row r="109" spans="1:16" x14ac:dyDescent="0.2">
      <c r="A109" s="187" t="s">
        <v>100</v>
      </c>
      <c r="B109" s="190"/>
      <c r="C109" s="191"/>
      <c r="D109" s="191"/>
      <c r="E109" s="234">
        <v>0</v>
      </c>
      <c r="F109" s="209"/>
      <c r="G109" s="194"/>
      <c r="H109" s="192"/>
      <c r="I109" s="192"/>
      <c r="J109" s="192"/>
      <c r="K109" s="157" t="s">
        <v>86</v>
      </c>
      <c r="L109" s="193"/>
      <c r="M109" s="89" t="e">
        <f>+M82*E109</f>
        <v>#DIV/0!</v>
      </c>
    </row>
    <row r="110" spans="1:16" x14ac:dyDescent="0.2">
      <c r="A110" s="159"/>
      <c r="B110" s="160"/>
      <c r="C110" s="123"/>
      <c r="D110" s="123"/>
      <c r="E110" s="138" t="s">
        <v>124</v>
      </c>
      <c r="F110" s="161" t="s">
        <v>289</v>
      </c>
      <c r="G110" s="123"/>
      <c r="H110" s="123"/>
      <c r="I110" s="123"/>
      <c r="J110" s="123"/>
      <c r="K110" s="123"/>
      <c r="L110" s="123"/>
      <c r="M110" s="12"/>
    </row>
    <row r="111" spans="1:16" x14ac:dyDescent="0.2">
      <c r="A111" s="187" t="s">
        <v>238</v>
      </c>
      <c r="B111" s="190"/>
      <c r="C111" s="191"/>
      <c r="D111" s="154"/>
      <c r="E111" s="214">
        <f>Forudsætninger!D106</f>
        <v>0</v>
      </c>
      <c r="F111" s="231" t="s">
        <v>294</v>
      </c>
      <c r="G111" s="194"/>
      <c r="H111" s="192"/>
      <c r="I111" s="192"/>
      <c r="J111" s="192"/>
      <c r="K111" s="157" t="s">
        <v>86</v>
      </c>
      <c r="L111" s="193"/>
      <c r="M111" s="89">
        <f>+IF(F111="Ja",E111,0)</f>
        <v>0</v>
      </c>
    </row>
    <row r="112" spans="1:16" x14ac:dyDescent="0.2">
      <c r="A112" s="159"/>
      <c r="B112" s="160"/>
      <c r="C112" s="123"/>
      <c r="D112" s="123"/>
      <c r="E112" s="138" t="s">
        <v>125</v>
      </c>
      <c r="F112" s="161" t="s">
        <v>126</v>
      </c>
      <c r="G112" s="123"/>
      <c r="H112" s="123"/>
      <c r="I112" s="123"/>
      <c r="J112" s="123"/>
      <c r="K112" s="123"/>
      <c r="L112" s="123"/>
      <c r="M112" s="12"/>
    </row>
    <row r="113" spans="1:21" x14ac:dyDescent="0.2">
      <c r="A113" s="187" t="s">
        <v>127</v>
      </c>
      <c r="B113" s="190"/>
      <c r="C113" s="191"/>
      <c r="D113" s="154"/>
      <c r="E113" s="214">
        <f>Forudsætninger!D107</f>
        <v>0</v>
      </c>
      <c r="F113" s="231">
        <v>0</v>
      </c>
      <c r="G113" s="194"/>
      <c r="H113" s="192"/>
      <c r="I113" s="192"/>
      <c r="J113" s="192"/>
      <c r="K113" s="157" t="s">
        <v>86</v>
      </c>
      <c r="L113" s="193"/>
      <c r="M113" s="89">
        <f>+IF($F$111="Ja",E113*F113,0)</f>
        <v>0</v>
      </c>
    </row>
    <row r="114" spans="1:21" x14ac:dyDescent="0.2">
      <c r="A114" s="159"/>
      <c r="B114" s="160"/>
      <c r="C114" s="123"/>
      <c r="D114" s="123"/>
      <c r="E114" s="138" t="s">
        <v>121</v>
      </c>
      <c r="F114" s="161" t="s">
        <v>122</v>
      </c>
      <c r="G114" s="123"/>
      <c r="H114" s="123"/>
      <c r="I114" s="123"/>
      <c r="J114" s="123"/>
      <c r="K114" s="123"/>
      <c r="L114" s="123"/>
      <c r="M114" s="12"/>
    </row>
    <row r="115" spans="1:21" x14ac:dyDescent="0.2">
      <c r="A115" s="187" t="s">
        <v>123</v>
      </c>
      <c r="B115" s="190"/>
      <c r="C115" s="191"/>
      <c r="D115" s="154"/>
      <c r="E115" s="86">
        <f>+Forudsætninger!D108</f>
        <v>3.51</v>
      </c>
      <c r="F115" s="231">
        <v>0</v>
      </c>
      <c r="G115" s="194"/>
      <c r="H115" s="192"/>
      <c r="I115" s="192"/>
      <c r="J115" s="192"/>
      <c r="K115" s="157" t="s">
        <v>86</v>
      </c>
      <c r="L115" s="193"/>
      <c r="M115" s="89">
        <f>+IF($F$111="Ja",E115*F115,0)</f>
        <v>0</v>
      </c>
    </row>
    <row r="116" spans="1:21" ht="13.5" thickBot="1" x14ac:dyDescent="0.25">
      <c r="A116" s="215"/>
      <c r="B116" s="215"/>
      <c r="C116" s="216"/>
      <c r="D116" s="217"/>
      <c r="E116" s="217"/>
      <c r="F116" s="218"/>
      <c r="G116" s="219"/>
      <c r="H116" s="192"/>
      <c r="I116" s="192"/>
      <c r="J116" s="192"/>
      <c r="K116" s="220"/>
      <c r="L116" s="221"/>
      <c r="M116" s="140"/>
    </row>
    <row r="117" spans="1:21" ht="13.5" thickBot="1" x14ac:dyDescent="0.25">
      <c r="A117" s="195" t="s">
        <v>157</v>
      </c>
      <c r="B117" s="196"/>
      <c r="C117" s="196"/>
      <c r="D117" s="196"/>
      <c r="E117" s="196"/>
      <c r="F117" s="196"/>
      <c r="G117" s="196"/>
      <c r="H117" s="196"/>
      <c r="I117" s="196"/>
      <c r="J117" s="196"/>
      <c r="K117" s="196"/>
      <c r="L117" s="196"/>
      <c r="M117" s="197" t="e">
        <f>SUM(M107:M115)</f>
        <v>#DIV/0!</v>
      </c>
    </row>
    <row r="118" spans="1:21" x14ac:dyDescent="0.2">
      <c r="A118" s="160"/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208"/>
      <c r="N118" s="112"/>
      <c r="O118" s="112"/>
      <c r="P118" s="112"/>
    </row>
    <row r="119" spans="1:21" x14ac:dyDescent="0.2">
      <c r="A119" s="211" t="s">
        <v>285</v>
      </c>
      <c r="B119" s="199"/>
      <c r="C119" s="199"/>
      <c r="D119" s="199"/>
      <c r="E119" s="199"/>
      <c r="F119" s="199"/>
      <c r="G119" s="199"/>
      <c r="H119" s="199"/>
      <c r="I119" s="199"/>
      <c r="J119" s="199"/>
      <c r="K119" s="199"/>
      <c r="L119" s="199"/>
      <c r="M119" s="212" t="e">
        <f>+(M82+M117+M100+M88)</f>
        <v>#DIV/0!</v>
      </c>
      <c r="N119" s="112"/>
      <c r="O119" s="112"/>
      <c r="P119" s="112"/>
    </row>
    <row r="120" spans="1:21" x14ac:dyDescent="0.2">
      <c r="A120" s="160"/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208"/>
      <c r="N120" s="112"/>
      <c r="O120" s="112"/>
      <c r="P120" s="112"/>
    </row>
    <row r="121" spans="1:21" s="112" customFormat="1" x14ac:dyDescent="0.2">
      <c r="A121" s="3" t="s">
        <v>205</v>
      </c>
      <c r="B121" s="2"/>
      <c r="C121" s="2"/>
      <c r="D121" s="2"/>
      <c r="E121" s="2"/>
      <c r="F121" s="2"/>
      <c r="G121" s="2"/>
      <c r="H121" s="2"/>
      <c r="I121" s="2"/>
      <c r="J121" s="2"/>
      <c r="M121" s="208"/>
      <c r="R121" s="107"/>
      <c r="S121" s="107"/>
      <c r="T121" s="107"/>
      <c r="U121" s="107"/>
    </row>
    <row r="122" spans="1:21" s="112" customFormat="1" x14ac:dyDescent="0.2">
      <c r="A122" s="2" t="s">
        <v>72</v>
      </c>
      <c r="B122" s="2" t="s">
        <v>73</v>
      </c>
      <c r="C122" s="2"/>
      <c r="D122" s="2"/>
      <c r="E122" s="2"/>
      <c r="F122" s="2"/>
      <c r="G122" s="2"/>
      <c r="H122" s="2"/>
      <c r="I122" s="2"/>
      <c r="J122" s="2"/>
      <c r="M122" s="208"/>
    </row>
    <row r="123" spans="1:21" s="112" customFormat="1" x14ac:dyDescent="0.2">
      <c r="A123" s="3" t="s">
        <v>76</v>
      </c>
      <c r="B123" s="222" t="s">
        <v>87</v>
      </c>
      <c r="C123" s="2"/>
      <c r="D123" s="2"/>
      <c r="E123" s="2"/>
      <c r="F123" s="2"/>
      <c r="G123" s="2"/>
      <c r="H123" s="2"/>
      <c r="I123" s="2"/>
      <c r="J123" s="2"/>
      <c r="M123" s="208"/>
    </row>
    <row r="124" spans="1:21" x14ac:dyDescent="0.2">
      <c r="F124" s="223"/>
      <c r="I124" s="223"/>
      <c r="J124" s="141"/>
      <c r="M124" s="224"/>
    </row>
    <row r="125" spans="1:21" x14ac:dyDescent="0.2">
      <c r="A125" s="3" t="s">
        <v>210</v>
      </c>
      <c r="F125" s="225"/>
      <c r="I125" s="141"/>
      <c r="J125" s="141"/>
      <c r="M125" s="224"/>
    </row>
    <row r="126" spans="1:21" ht="24" customHeight="1" x14ac:dyDescent="0.2">
      <c r="A126" s="388" t="s">
        <v>166</v>
      </c>
      <c r="B126" s="388"/>
      <c r="C126" s="388"/>
      <c r="D126" s="388"/>
      <c r="E126" s="388"/>
      <c r="F126" s="388"/>
      <c r="G126" s="388"/>
      <c r="H126" s="388"/>
      <c r="I126" s="388"/>
      <c r="J126" s="388"/>
      <c r="K126" s="388"/>
      <c r="L126" s="388"/>
      <c r="M126" s="388"/>
    </row>
    <row r="127" spans="1:21" x14ac:dyDescent="0.2">
      <c r="A127" s="2"/>
      <c r="M127" s="224"/>
    </row>
    <row r="128" spans="1:21" x14ac:dyDescent="0.2">
      <c r="A128" s="3" t="s">
        <v>314</v>
      </c>
      <c r="F128" s="225"/>
      <c r="I128" s="223"/>
    </row>
    <row r="129" spans="1:13" ht="24" customHeight="1" x14ac:dyDescent="0.2">
      <c r="A129" s="388" t="s">
        <v>312</v>
      </c>
      <c r="B129" s="388"/>
      <c r="C129" s="388"/>
      <c r="D129" s="388"/>
      <c r="E129" s="388"/>
      <c r="F129" s="388"/>
      <c r="G129" s="388"/>
      <c r="H129" s="388"/>
      <c r="I129" s="388"/>
      <c r="J129" s="388"/>
      <c r="K129" s="388"/>
      <c r="L129" s="388"/>
      <c r="M129" s="388"/>
    </row>
    <row r="132" spans="1:13" x14ac:dyDescent="0.2">
      <c r="I132" s="112"/>
    </row>
    <row r="133" spans="1:13" x14ac:dyDescent="0.2">
      <c r="I133" s="112"/>
    </row>
    <row r="134" spans="1:13" x14ac:dyDescent="0.2">
      <c r="I134" s="112"/>
    </row>
    <row r="135" spans="1:13" x14ac:dyDescent="0.2">
      <c r="I135" s="112"/>
    </row>
    <row r="136" spans="1:13" x14ac:dyDescent="0.2">
      <c r="I136" s="112"/>
    </row>
  </sheetData>
  <sheetProtection algorithmName="SHA-512" hashValue="yoIH31WDpBKLdh4h6FWWsfh9Wv6wl8UWK+Sn5dCdoV9l2qTMot/fCpqgoja1ABixiYTOiPJNQezOgk+V+Y5OlQ==" saltValue="Y3TJZf6kImKybnW9iggbGQ==" spinCount="100000" sheet="1" objects="1" scenarios="1"/>
  <mergeCells count="7">
    <mergeCell ref="A129:M129"/>
    <mergeCell ref="A126:M126"/>
    <mergeCell ref="N9:O9"/>
    <mergeCell ref="I2:M2"/>
    <mergeCell ref="A98:C98"/>
    <mergeCell ref="A8:E8"/>
    <mergeCell ref="B4:C4"/>
  </mergeCells>
  <dataValidations xWindow="336" yWindow="418" count="6">
    <dataValidation allowBlank="1" showInputMessage="1" showErrorMessage="1" promptTitle="Til dato" prompt="Indtast slutdato i perioden, dvs. sidste dag i perioden._x000a_dd-mm-åååå_x000a_Eks. ved årsbudget: hvis startdato er 01-04-2019 skal slutdato være 31-03-2020_x000a_" sqref="E6" xr:uid="{C93F17C3-DB3E-42EC-9963-E33CCED90E49}"/>
    <dataValidation type="list" allowBlank="1" showInputMessage="1" showErrorMessage="1" sqref="F111 D59 D94 D92" xr:uid="{00000000-0002-0000-0200-000001000000}">
      <formula1>"Vælg,Ja,Nej"</formula1>
    </dataValidation>
    <dataValidation type="list" allowBlank="1" showInputMessage="1" showErrorMessage="1" sqref="D98" xr:uid="{00000000-0002-0000-0200-000002000000}">
      <formula1>"Vælg, Beregner, Overhead"</formula1>
    </dataValidation>
    <dataValidation type="list" allowBlank="1" showInputMessage="1" showErrorMessage="1" sqref="F8" xr:uid="{00000000-0002-0000-0200-000003000000}">
      <formula1>Løntrin</formula1>
    </dataValidation>
    <dataValidation type="list" allowBlank="1" showInputMessage="1" showErrorMessage="1" sqref="B4:C4" xr:uid="{00000000-0002-0000-0200-000004000000}">
      <formula1>Kommuneliste</formula1>
    </dataValidation>
    <dataValidation type="list" allowBlank="1" showInputMessage="1" showErrorMessage="1" promptTitle="Vælg type antal ansatte" prompt="Vælg om der skal beregnes med de faktiske hjælpere i ordningen indsat ved &quot;Løse timer&quot; eller der skal benyttes antal forventede årlige hjælpere ud fra gennemsnitsmodellen på faneblad &quot;Administration&quot;, hvor i afløsere samt udskiftning er medtaget. " sqref="F98" xr:uid="{00000000-0002-0000-0200-000005000000}">
      <formula1>"Vælg, Faktiske ansatte, Årlige ansatte"</formula1>
    </dataValidation>
  </dataValidations>
  <pageMargins left="0.7" right="0.7" top="0.75" bottom="0.75" header="0.3" footer="0.3"/>
  <pageSetup paperSize="8" scale="7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134"/>
  <sheetViews>
    <sheetView workbookViewId="0"/>
  </sheetViews>
  <sheetFormatPr defaultColWidth="9.33203125" defaultRowHeight="12.75" outlineLevelCol="1" x14ac:dyDescent="0.2"/>
  <cols>
    <col min="1" max="1" width="37.33203125" style="107" customWidth="1"/>
    <col min="2" max="2" width="10.6640625" style="107" customWidth="1"/>
    <col min="3" max="3" width="14" style="107" customWidth="1"/>
    <col min="4" max="4" width="14.1640625" style="107" customWidth="1"/>
    <col min="5" max="5" width="14.33203125" style="107" customWidth="1"/>
    <col min="6" max="6" width="12.33203125" style="107" bestFit="1" customWidth="1"/>
    <col min="7" max="7" width="11.6640625" style="107" customWidth="1"/>
    <col min="8" max="8" width="11" style="107" bestFit="1" customWidth="1"/>
    <col min="9" max="9" width="12.1640625" style="107" bestFit="1" customWidth="1"/>
    <col min="10" max="12" width="9.5" style="107" bestFit="1" customWidth="1"/>
    <col min="13" max="13" width="16" style="107" customWidth="1"/>
    <col min="14" max="14" width="15" style="107" hidden="1" customWidth="1" outlineLevel="1"/>
    <col min="15" max="15" width="10.5" style="107" hidden="1" customWidth="1" outlineLevel="1"/>
    <col min="16" max="16" width="14.33203125" style="107" bestFit="1" customWidth="1" collapsed="1"/>
    <col min="17" max="17" width="14" style="112" customWidth="1"/>
    <col min="18" max="20" width="9.33203125" style="112"/>
    <col min="21" max="21" width="15.6640625" style="107" bestFit="1" customWidth="1"/>
    <col min="22" max="22" width="12.6640625" style="107" customWidth="1"/>
    <col min="23" max="16384" width="9.33203125" style="107"/>
  </cols>
  <sheetData>
    <row r="1" spans="1:22" ht="18.75" thickBot="1" x14ac:dyDescent="0.3">
      <c r="A1" s="235" t="s">
        <v>102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22" ht="16.5" thickBot="1" x14ac:dyDescent="0.3">
      <c r="A2" s="108" t="s">
        <v>239</v>
      </c>
      <c r="B2" s="106"/>
      <c r="C2" s="106"/>
      <c r="D2" s="106"/>
      <c r="E2" s="106"/>
      <c r="F2" s="106"/>
      <c r="G2" s="106"/>
      <c r="H2" s="106"/>
      <c r="I2" s="390" t="s">
        <v>270</v>
      </c>
      <c r="J2" s="391"/>
      <c r="K2" s="391"/>
      <c r="L2" s="391"/>
      <c r="M2" s="392"/>
    </row>
    <row r="3" spans="1:22" ht="19.5" x14ac:dyDescent="0.25">
      <c r="A3" s="236"/>
      <c r="B3" s="106"/>
      <c r="C3" s="106"/>
      <c r="D3" s="106"/>
      <c r="E3" s="106"/>
      <c r="F3" s="106"/>
      <c r="G3" s="106"/>
      <c r="H3" s="106"/>
      <c r="I3" s="106"/>
      <c r="J3" s="106"/>
    </row>
    <row r="4" spans="1:22" ht="15" x14ac:dyDescent="0.2">
      <c r="A4" s="109" t="s">
        <v>3</v>
      </c>
      <c r="B4" s="398" t="s">
        <v>415</v>
      </c>
      <c r="C4" s="399"/>
      <c r="E4" s="110" t="s">
        <v>186</v>
      </c>
      <c r="F4" s="339">
        <f>+VLOOKUP(B4,Kommunenavn,2)</f>
        <v>0</v>
      </c>
      <c r="H4" s="109" t="s">
        <v>4</v>
      </c>
      <c r="J4" s="226"/>
      <c r="K4" s="228"/>
      <c r="L4" s="227"/>
      <c r="O4" s="111"/>
      <c r="P4" s="112"/>
    </row>
    <row r="5" spans="1:22" s="112" customFormat="1" ht="15" x14ac:dyDescent="0.2">
      <c r="A5" s="3" t="s">
        <v>5</v>
      </c>
      <c r="B5" s="2"/>
      <c r="C5" s="340">
        <v>44470</v>
      </c>
      <c r="D5" s="337"/>
      <c r="E5" s="305"/>
      <c r="H5" s="111"/>
      <c r="J5" s="113"/>
      <c r="K5" s="113"/>
      <c r="L5" s="113"/>
      <c r="O5" s="111"/>
    </row>
    <row r="6" spans="1:22" x14ac:dyDescent="0.2">
      <c r="A6" s="3" t="s">
        <v>282</v>
      </c>
      <c r="B6" s="2" t="s">
        <v>283</v>
      </c>
      <c r="C6" s="351">
        <v>44562</v>
      </c>
      <c r="D6" s="305" t="s">
        <v>284</v>
      </c>
      <c r="E6" s="351">
        <v>44926</v>
      </c>
      <c r="F6" s="2"/>
      <c r="G6" s="3"/>
      <c r="H6" s="117"/>
      <c r="I6" s="8"/>
      <c r="J6" s="117"/>
      <c r="K6" s="8"/>
      <c r="L6" s="8"/>
    </row>
    <row r="7" spans="1:22" ht="21.75" x14ac:dyDescent="0.2">
      <c r="A7" s="3"/>
      <c r="B7" s="2"/>
      <c r="D7" s="3"/>
      <c r="F7" s="330" t="s">
        <v>421</v>
      </c>
      <c r="G7" s="237" t="s">
        <v>228</v>
      </c>
      <c r="H7" s="117"/>
      <c r="I7" s="120" t="s">
        <v>6</v>
      </c>
      <c r="J7" s="120" t="s">
        <v>7</v>
      </c>
      <c r="K7" s="120" t="s">
        <v>8</v>
      </c>
      <c r="L7" s="120" t="s">
        <v>9</v>
      </c>
      <c r="M7" s="120" t="s">
        <v>271</v>
      </c>
    </row>
    <row r="8" spans="1:22" ht="21.75" customHeight="1" x14ac:dyDescent="0.2">
      <c r="A8" s="396" t="s">
        <v>431</v>
      </c>
      <c r="B8" s="397"/>
      <c r="C8" s="397"/>
      <c r="D8" s="397"/>
      <c r="E8" s="397"/>
      <c r="F8" s="343">
        <v>11</v>
      </c>
      <c r="G8" s="344">
        <f>+INDEX(Timepriser,MATCH(F8,Løntrin,0),MATCH(F4,Stedtillæg,0))</f>
        <v>132.19113965280667</v>
      </c>
      <c r="I8" s="244">
        <f>+G8*Forudsætninger!I43</f>
        <v>66.095569826403334</v>
      </c>
      <c r="J8" s="122">
        <f>+G8*Forudsætninger!I42</f>
        <v>39.657341895842002</v>
      </c>
      <c r="K8" s="122">
        <f>+G8*Forudsætninger!I40</f>
        <v>39.657341895842002</v>
      </c>
      <c r="L8" s="122">
        <f>+G8*Forudsætninger!I41</f>
        <v>46.26689887848233</v>
      </c>
      <c r="M8" s="130">
        <f>G8*Forudsætninger!I45</f>
        <v>99.143354739605002</v>
      </c>
      <c r="N8" s="76"/>
      <c r="O8" s="123"/>
      <c r="P8" s="238"/>
      <c r="V8" s="239"/>
    </row>
    <row r="9" spans="1:22" ht="13.5" thickBo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89" t="s">
        <v>229</v>
      </c>
      <c r="O9" s="389"/>
    </row>
    <row r="10" spans="1:22" ht="42.75" x14ac:dyDescent="0.2">
      <c r="A10" s="125"/>
      <c r="B10" s="126" t="s">
        <v>10</v>
      </c>
      <c r="C10" s="126" t="s">
        <v>66</v>
      </c>
      <c r="D10" s="126" t="s">
        <v>49</v>
      </c>
      <c r="E10" s="126" t="s">
        <v>68</v>
      </c>
      <c r="F10" s="126" t="s">
        <v>11</v>
      </c>
      <c r="G10" s="126" t="s">
        <v>12</v>
      </c>
      <c r="H10" s="126" t="s">
        <v>7</v>
      </c>
      <c r="I10" s="126" t="s">
        <v>13</v>
      </c>
      <c r="J10" s="127" t="s">
        <v>14</v>
      </c>
      <c r="K10" s="125" t="s">
        <v>15</v>
      </c>
      <c r="L10" s="128" t="s">
        <v>67</v>
      </c>
      <c r="M10" s="129" t="s">
        <v>16</v>
      </c>
      <c r="N10" s="129" t="s">
        <v>89</v>
      </c>
      <c r="O10" s="129" t="s">
        <v>88</v>
      </c>
    </row>
    <row r="11" spans="1:22" x14ac:dyDescent="0.2">
      <c r="A11" s="102" t="s">
        <v>17</v>
      </c>
      <c r="B11" s="121" t="s">
        <v>18</v>
      </c>
      <c r="C11" s="229"/>
      <c r="D11" s="229"/>
      <c r="E11" s="229"/>
      <c r="F11" s="122">
        <f>+G8</f>
        <v>132.19113965280667</v>
      </c>
      <c r="G11" s="122" t="s">
        <v>19</v>
      </c>
      <c r="H11" s="122" t="s">
        <v>19</v>
      </c>
      <c r="I11" s="122" t="s">
        <v>19</v>
      </c>
      <c r="J11" s="130">
        <f>+L8</f>
        <v>46.26689887848233</v>
      </c>
      <c r="K11" s="131">
        <f>+M8</f>
        <v>99.143354739605002</v>
      </c>
      <c r="L11" s="132">
        <f>SUM(F11:J11)</f>
        <v>178.45803853128899</v>
      </c>
      <c r="M11" s="133">
        <f>+($C11+($D11/(Budgetark!$J$6)+$E11*3/4))*$F11+N11+O11/(Budgetark!$J$6)</f>
        <v>0</v>
      </c>
      <c r="N11" s="134">
        <f>SUM(G11:J11)*ROUNDUP(C11*2,0)/2</f>
        <v>0</v>
      </c>
      <c r="O11" s="135">
        <f>SUM(G11:J11)*ROUNDUP(D11*2,0)/2</f>
        <v>0</v>
      </c>
    </row>
    <row r="12" spans="1:22" x14ac:dyDescent="0.2">
      <c r="A12" s="102" t="s">
        <v>17</v>
      </c>
      <c r="B12" s="136" t="s">
        <v>20</v>
      </c>
      <c r="C12" s="229"/>
      <c r="D12" s="229"/>
      <c r="E12" s="229"/>
      <c r="F12" s="122">
        <f>+G8</f>
        <v>132.19113965280667</v>
      </c>
      <c r="G12" s="122"/>
      <c r="H12" s="122"/>
      <c r="I12" s="122"/>
      <c r="J12" s="130"/>
      <c r="K12" s="131">
        <f>+M8</f>
        <v>99.143354739605002</v>
      </c>
      <c r="L12" s="132">
        <f>SUM(F12:J12)</f>
        <v>132.19113965280667</v>
      </c>
      <c r="M12" s="133">
        <f>+($C12+($D12/(Budgetark!$J$6)+$E12*3/4))*$F12+N12+O12/(Budgetark!$J$6)</f>
        <v>0</v>
      </c>
      <c r="N12" s="134">
        <f t="shared" ref="N12:N45" si="0">SUM(G12:J12)*ROUNDUP(C12*2,0)/2</f>
        <v>0</v>
      </c>
      <c r="O12" s="135">
        <f t="shared" ref="O12:O45" si="1">SUM(G12:J12)*ROUNDUP(D12*2,0)/2</f>
        <v>0</v>
      </c>
    </row>
    <row r="13" spans="1:22" x14ac:dyDescent="0.2">
      <c r="A13" s="102" t="s">
        <v>17</v>
      </c>
      <c r="B13" s="136" t="s">
        <v>21</v>
      </c>
      <c r="C13" s="229"/>
      <c r="D13" s="229"/>
      <c r="E13" s="229"/>
      <c r="F13" s="122">
        <f>+G8</f>
        <v>132.19113965280667</v>
      </c>
      <c r="G13" s="122"/>
      <c r="H13" s="122"/>
      <c r="I13" s="122">
        <f>+K8</f>
        <v>39.657341895842002</v>
      </c>
      <c r="J13" s="130"/>
      <c r="K13" s="131">
        <f>+M8</f>
        <v>99.143354739605002</v>
      </c>
      <c r="L13" s="132">
        <f>SUM(F13:J13)</f>
        <v>171.84848154864866</v>
      </c>
      <c r="M13" s="133">
        <f>+($C13+($D13/(Budgetark!$J$6)+$E13*3/4))*$F13+N13+O13/(Budgetark!$J$6)</f>
        <v>0</v>
      </c>
      <c r="N13" s="134">
        <f t="shared" si="0"/>
        <v>0</v>
      </c>
      <c r="O13" s="135">
        <f t="shared" si="1"/>
        <v>0</v>
      </c>
      <c r="P13" s="137"/>
      <c r="Q13" s="172"/>
    </row>
    <row r="14" spans="1:22" x14ac:dyDescent="0.2">
      <c r="A14" s="102" t="s">
        <v>17</v>
      </c>
      <c r="B14" s="121" t="s">
        <v>22</v>
      </c>
      <c r="C14" s="229"/>
      <c r="D14" s="229"/>
      <c r="E14" s="229"/>
      <c r="F14" s="122">
        <f>+G8</f>
        <v>132.19113965280667</v>
      </c>
      <c r="G14" s="122"/>
      <c r="H14" s="122"/>
      <c r="I14" s="122" t="s">
        <v>19</v>
      </c>
      <c r="J14" s="130">
        <f>+L8</f>
        <v>46.26689887848233</v>
      </c>
      <c r="K14" s="131">
        <f>+M8</f>
        <v>99.143354739605002</v>
      </c>
      <c r="L14" s="132">
        <f>SUM(F14:J14)</f>
        <v>178.45803853128899</v>
      </c>
      <c r="M14" s="133">
        <f>+($C14+($D14/(Budgetark!$J$6)+$E14*3/4))*$F14+N14+O14/(Budgetark!$J$6)</f>
        <v>0</v>
      </c>
      <c r="N14" s="134">
        <f t="shared" si="0"/>
        <v>0</v>
      </c>
      <c r="O14" s="135">
        <f t="shared" si="1"/>
        <v>0</v>
      </c>
    </row>
    <row r="15" spans="1:22" x14ac:dyDescent="0.2">
      <c r="A15" s="43"/>
      <c r="B15" s="8"/>
      <c r="C15" s="138"/>
      <c r="D15" s="138"/>
      <c r="E15" s="138"/>
      <c r="F15" s="138" t="s">
        <v>19</v>
      </c>
      <c r="G15" s="138"/>
      <c r="H15" s="138"/>
      <c r="I15" s="138"/>
      <c r="J15" s="138"/>
      <c r="K15" s="139"/>
      <c r="L15" s="140" t="s">
        <v>19</v>
      </c>
      <c r="M15" s="133"/>
      <c r="N15" s="134"/>
      <c r="O15" s="135"/>
    </row>
    <row r="16" spans="1:22" x14ac:dyDescent="0.2">
      <c r="A16" s="102" t="s">
        <v>23</v>
      </c>
      <c r="B16" s="121" t="s">
        <v>18</v>
      </c>
      <c r="C16" s="229"/>
      <c r="D16" s="229"/>
      <c r="E16" s="229"/>
      <c r="F16" s="122">
        <f>+G8</f>
        <v>132.19113965280667</v>
      </c>
      <c r="G16" s="122" t="s">
        <v>19</v>
      </c>
      <c r="H16" s="122" t="s">
        <v>19</v>
      </c>
      <c r="I16" s="122" t="s">
        <v>19</v>
      </c>
      <c r="J16" s="130">
        <f>+L8</f>
        <v>46.26689887848233</v>
      </c>
      <c r="K16" s="131">
        <f>+M8</f>
        <v>99.143354739605002</v>
      </c>
      <c r="L16" s="132">
        <f>SUM(F16:J16)</f>
        <v>178.45803853128899</v>
      </c>
      <c r="M16" s="133">
        <f>+($C16+($D16/(Budgetark!$J$6)+$E16*3/4))*$F16+N16+O16/(Budgetark!$J$6)</f>
        <v>0</v>
      </c>
      <c r="N16" s="134">
        <f t="shared" si="0"/>
        <v>0</v>
      </c>
      <c r="O16" s="135">
        <f t="shared" si="1"/>
        <v>0</v>
      </c>
      <c r="P16" s="141"/>
    </row>
    <row r="17" spans="1:16" x14ac:dyDescent="0.2">
      <c r="A17" s="102" t="s">
        <v>23</v>
      </c>
      <c r="B17" s="136" t="s">
        <v>20</v>
      </c>
      <c r="C17" s="229"/>
      <c r="D17" s="229"/>
      <c r="E17" s="229"/>
      <c r="F17" s="122">
        <f>+G8</f>
        <v>132.19113965280667</v>
      </c>
      <c r="G17" s="122"/>
      <c r="H17" s="122"/>
      <c r="I17" s="122"/>
      <c r="J17" s="130"/>
      <c r="K17" s="131">
        <f>+M8</f>
        <v>99.143354739605002</v>
      </c>
      <c r="L17" s="132">
        <f>SUM(F17:J17)</f>
        <v>132.19113965280667</v>
      </c>
      <c r="M17" s="133">
        <f>+($C17+($D17/(Budgetark!$J$6)+$E17*3/4))*$F17+N17+O17/(Budgetark!$J$6)</f>
        <v>0</v>
      </c>
      <c r="N17" s="134">
        <f t="shared" si="0"/>
        <v>0</v>
      </c>
      <c r="O17" s="135">
        <f t="shared" si="1"/>
        <v>0</v>
      </c>
      <c r="P17" s="141"/>
    </row>
    <row r="18" spans="1:16" x14ac:dyDescent="0.2">
      <c r="A18" s="102" t="s">
        <v>23</v>
      </c>
      <c r="B18" s="136" t="s">
        <v>21</v>
      </c>
      <c r="C18" s="229"/>
      <c r="D18" s="229"/>
      <c r="E18" s="229"/>
      <c r="F18" s="122">
        <f>+G8</f>
        <v>132.19113965280667</v>
      </c>
      <c r="G18" s="122"/>
      <c r="H18" s="122"/>
      <c r="I18" s="122">
        <f>+K8</f>
        <v>39.657341895842002</v>
      </c>
      <c r="J18" s="130"/>
      <c r="K18" s="131">
        <f>+M8</f>
        <v>99.143354739605002</v>
      </c>
      <c r="L18" s="132">
        <f>SUM(F18:J18)</f>
        <v>171.84848154864866</v>
      </c>
      <c r="M18" s="133">
        <f>+($C18+($D18/(Budgetark!$J$6)+$E18*3/4))*$F18+N18+O18/(Budgetark!$J$6)</f>
        <v>0</v>
      </c>
      <c r="N18" s="134">
        <f t="shared" si="0"/>
        <v>0</v>
      </c>
      <c r="O18" s="135">
        <f t="shared" si="1"/>
        <v>0</v>
      </c>
      <c r="P18" s="142"/>
    </row>
    <row r="19" spans="1:16" x14ac:dyDescent="0.2">
      <c r="A19" s="102" t="s">
        <v>23</v>
      </c>
      <c r="B19" s="121" t="s">
        <v>22</v>
      </c>
      <c r="C19" s="229"/>
      <c r="D19" s="229"/>
      <c r="E19" s="229"/>
      <c r="F19" s="122">
        <f>+G8</f>
        <v>132.19113965280667</v>
      </c>
      <c r="G19" s="122"/>
      <c r="H19" s="122"/>
      <c r="I19" s="122" t="s">
        <v>19</v>
      </c>
      <c r="J19" s="130">
        <f>+L8</f>
        <v>46.26689887848233</v>
      </c>
      <c r="K19" s="131">
        <f>+M8</f>
        <v>99.143354739605002</v>
      </c>
      <c r="L19" s="132">
        <f>SUM(F19:J19)</f>
        <v>178.45803853128899</v>
      </c>
      <c r="M19" s="133">
        <f>+($C19+($D19/(Budgetark!$J$6)+$E19*3/4))*$F19+N19+O19/(Budgetark!$J$6)</f>
        <v>0</v>
      </c>
      <c r="N19" s="134">
        <f t="shared" si="0"/>
        <v>0</v>
      </c>
      <c r="O19" s="135">
        <f t="shared" si="1"/>
        <v>0</v>
      </c>
      <c r="P19" s="142"/>
    </row>
    <row r="20" spans="1:16" x14ac:dyDescent="0.2">
      <c r="A20" s="43"/>
      <c r="B20" s="8"/>
      <c r="C20" s="138"/>
      <c r="D20" s="138"/>
      <c r="E20" s="138"/>
      <c r="F20" s="138" t="s">
        <v>19</v>
      </c>
      <c r="G20" s="138"/>
      <c r="H20" s="138"/>
      <c r="I20" s="138"/>
      <c r="J20" s="138"/>
      <c r="K20" s="139"/>
      <c r="L20" s="140" t="s">
        <v>19</v>
      </c>
      <c r="M20" s="133"/>
      <c r="N20" s="134"/>
      <c r="O20" s="135"/>
    </row>
    <row r="21" spans="1:16" x14ac:dyDescent="0.2">
      <c r="A21" s="102" t="s">
        <v>24</v>
      </c>
      <c r="B21" s="121" t="s">
        <v>18</v>
      </c>
      <c r="C21" s="229"/>
      <c r="D21" s="229"/>
      <c r="E21" s="229"/>
      <c r="F21" s="122">
        <f>+G8</f>
        <v>132.19113965280667</v>
      </c>
      <c r="G21" s="122" t="s">
        <v>19</v>
      </c>
      <c r="H21" s="122" t="s">
        <v>19</v>
      </c>
      <c r="I21" s="122" t="s">
        <v>19</v>
      </c>
      <c r="J21" s="130">
        <f>+L8</f>
        <v>46.26689887848233</v>
      </c>
      <c r="K21" s="131">
        <f>+M8</f>
        <v>99.143354739605002</v>
      </c>
      <c r="L21" s="132">
        <f>SUM(F21:J21)</f>
        <v>178.45803853128899</v>
      </c>
      <c r="M21" s="133">
        <f>+($C21+($D21/(Budgetark!$J$6)+$E21*3/4))*$F21+N21+O21/(Budgetark!$J$6)</f>
        <v>0</v>
      </c>
      <c r="N21" s="134">
        <f t="shared" si="0"/>
        <v>0</v>
      </c>
      <c r="O21" s="135">
        <f t="shared" si="1"/>
        <v>0</v>
      </c>
    </row>
    <row r="22" spans="1:16" x14ac:dyDescent="0.2">
      <c r="A22" s="102" t="s">
        <v>24</v>
      </c>
      <c r="B22" s="136" t="s">
        <v>20</v>
      </c>
      <c r="C22" s="229"/>
      <c r="D22" s="229"/>
      <c r="E22" s="229"/>
      <c r="F22" s="122">
        <f>+G8</f>
        <v>132.19113965280667</v>
      </c>
      <c r="G22" s="122"/>
      <c r="H22" s="122"/>
      <c r="I22" s="122"/>
      <c r="J22" s="130"/>
      <c r="K22" s="131">
        <f>+M8</f>
        <v>99.143354739605002</v>
      </c>
      <c r="L22" s="132">
        <f>SUM(F22:J22)</f>
        <v>132.19113965280667</v>
      </c>
      <c r="M22" s="133">
        <f>+($C22+($D22/(Budgetark!$J$6)+$E22*3/4))*$F22+N22+O22/(Budgetark!$J$6)</f>
        <v>0</v>
      </c>
      <c r="N22" s="134">
        <f t="shared" si="0"/>
        <v>0</v>
      </c>
      <c r="O22" s="135">
        <f t="shared" si="1"/>
        <v>0</v>
      </c>
    </row>
    <row r="23" spans="1:16" x14ac:dyDescent="0.2">
      <c r="A23" s="102" t="s">
        <v>24</v>
      </c>
      <c r="B23" s="136" t="s">
        <v>21</v>
      </c>
      <c r="C23" s="229"/>
      <c r="D23" s="229"/>
      <c r="E23" s="229"/>
      <c r="F23" s="122">
        <f>+G8</f>
        <v>132.19113965280667</v>
      </c>
      <c r="G23" s="122"/>
      <c r="H23" s="122"/>
      <c r="I23" s="122">
        <f>+K8</f>
        <v>39.657341895842002</v>
      </c>
      <c r="J23" s="130"/>
      <c r="K23" s="131">
        <f>+M8</f>
        <v>99.143354739605002</v>
      </c>
      <c r="L23" s="132">
        <f>SUM(F23:J23)</f>
        <v>171.84848154864866</v>
      </c>
      <c r="M23" s="133">
        <f>+($C23+($D23/(Budgetark!$J$6)+$E23*3/4))*$F23+N23+O23/(Budgetark!$J$6)</f>
        <v>0</v>
      </c>
      <c r="N23" s="134">
        <f t="shared" si="0"/>
        <v>0</v>
      </c>
      <c r="O23" s="135">
        <f t="shared" si="1"/>
        <v>0</v>
      </c>
    </row>
    <row r="24" spans="1:16" x14ac:dyDescent="0.2">
      <c r="A24" s="102" t="s">
        <v>24</v>
      </c>
      <c r="B24" s="121" t="s">
        <v>22</v>
      </c>
      <c r="C24" s="229"/>
      <c r="D24" s="229"/>
      <c r="E24" s="229"/>
      <c r="F24" s="122">
        <f>+G8</f>
        <v>132.19113965280667</v>
      </c>
      <c r="G24" s="122"/>
      <c r="H24" s="122"/>
      <c r="I24" s="122" t="s">
        <v>19</v>
      </c>
      <c r="J24" s="130">
        <f>+L8</f>
        <v>46.26689887848233</v>
      </c>
      <c r="K24" s="131">
        <f>+M8</f>
        <v>99.143354739605002</v>
      </c>
      <c r="L24" s="132">
        <f>SUM(F24:J24)</f>
        <v>178.45803853128899</v>
      </c>
      <c r="M24" s="133">
        <f>+($C24+($D24/(Budgetark!$J$6)+$E24*3/4))*$F24+N24+O24/(Budgetark!$J$6)</f>
        <v>0</v>
      </c>
      <c r="N24" s="134">
        <f t="shared" si="0"/>
        <v>0</v>
      </c>
      <c r="O24" s="135">
        <f t="shared" si="1"/>
        <v>0</v>
      </c>
    </row>
    <row r="25" spans="1:16" x14ac:dyDescent="0.2">
      <c r="A25" s="43"/>
      <c r="B25" s="8"/>
      <c r="C25" s="138"/>
      <c r="D25" s="138"/>
      <c r="E25" s="138"/>
      <c r="F25" s="138" t="s">
        <v>19</v>
      </c>
      <c r="G25" s="138"/>
      <c r="H25" s="138"/>
      <c r="I25" s="138"/>
      <c r="J25" s="138"/>
      <c r="K25" s="139"/>
      <c r="L25" s="140" t="s">
        <v>19</v>
      </c>
      <c r="M25" s="133"/>
      <c r="N25" s="134"/>
      <c r="O25" s="135"/>
    </row>
    <row r="26" spans="1:16" x14ac:dyDescent="0.2">
      <c r="A26" s="102" t="s">
        <v>25</v>
      </c>
      <c r="B26" s="121" t="s">
        <v>18</v>
      </c>
      <c r="C26" s="229"/>
      <c r="D26" s="229"/>
      <c r="E26" s="229"/>
      <c r="F26" s="122">
        <f>+G8</f>
        <v>132.19113965280667</v>
      </c>
      <c r="G26" s="122" t="s">
        <v>19</v>
      </c>
      <c r="H26" s="122" t="s">
        <v>19</v>
      </c>
      <c r="I26" s="122" t="s">
        <v>19</v>
      </c>
      <c r="J26" s="130">
        <f>+L8</f>
        <v>46.26689887848233</v>
      </c>
      <c r="K26" s="131">
        <f>+M8</f>
        <v>99.143354739605002</v>
      </c>
      <c r="L26" s="132">
        <f>SUM(F26:J26)</f>
        <v>178.45803853128899</v>
      </c>
      <c r="M26" s="133">
        <f>+($C26+($D26/(Budgetark!$J$6)+$E26*3/4))*$F26+N26+O26/(Budgetark!$J$6)</f>
        <v>0</v>
      </c>
      <c r="N26" s="134">
        <f t="shared" si="0"/>
        <v>0</v>
      </c>
      <c r="O26" s="135">
        <f t="shared" si="1"/>
        <v>0</v>
      </c>
    </row>
    <row r="27" spans="1:16" x14ac:dyDescent="0.2">
      <c r="A27" s="102" t="s">
        <v>25</v>
      </c>
      <c r="B27" s="136" t="s">
        <v>20</v>
      </c>
      <c r="C27" s="229"/>
      <c r="D27" s="229"/>
      <c r="E27" s="229"/>
      <c r="F27" s="122">
        <f>+G8</f>
        <v>132.19113965280667</v>
      </c>
      <c r="G27" s="122"/>
      <c r="H27" s="122"/>
      <c r="I27" s="122"/>
      <c r="J27" s="130"/>
      <c r="K27" s="131">
        <f>+M8</f>
        <v>99.143354739605002</v>
      </c>
      <c r="L27" s="132">
        <f>SUM(F27:J27)</f>
        <v>132.19113965280667</v>
      </c>
      <c r="M27" s="133">
        <f>+($C27+($D27/(Budgetark!$J$6)+$E27*3/4))*$F27+N27+O27/(Budgetark!$J$6)</f>
        <v>0</v>
      </c>
      <c r="N27" s="134">
        <f t="shared" si="0"/>
        <v>0</v>
      </c>
      <c r="O27" s="135">
        <f t="shared" si="1"/>
        <v>0</v>
      </c>
    </row>
    <row r="28" spans="1:16" x14ac:dyDescent="0.2">
      <c r="A28" s="102" t="s">
        <v>25</v>
      </c>
      <c r="B28" s="136" t="s">
        <v>21</v>
      </c>
      <c r="C28" s="229"/>
      <c r="D28" s="229"/>
      <c r="E28" s="229"/>
      <c r="F28" s="122">
        <f>+G8</f>
        <v>132.19113965280667</v>
      </c>
      <c r="G28" s="122"/>
      <c r="H28" s="122"/>
      <c r="I28" s="122">
        <f>+K8</f>
        <v>39.657341895842002</v>
      </c>
      <c r="J28" s="130" t="s">
        <v>19</v>
      </c>
      <c r="K28" s="131">
        <f>+M8</f>
        <v>99.143354739605002</v>
      </c>
      <c r="L28" s="132">
        <f>SUM(F28:J28)</f>
        <v>171.84848154864866</v>
      </c>
      <c r="M28" s="133">
        <f>+($C28+($D28/(Budgetark!$J$6)+$E28*3/4))*$F28+N28+O28/(Budgetark!$J$6)</f>
        <v>0</v>
      </c>
      <c r="N28" s="134">
        <f t="shared" si="0"/>
        <v>0</v>
      </c>
      <c r="O28" s="135">
        <f t="shared" si="1"/>
        <v>0</v>
      </c>
    </row>
    <row r="29" spans="1:16" x14ac:dyDescent="0.2">
      <c r="A29" s="102" t="s">
        <v>25</v>
      </c>
      <c r="B29" s="121" t="s">
        <v>22</v>
      </c>
      <c r="C29" s="229"/>
      <c r="D29" s="229"/>
      <c r="E29" s="229"/>
      <c r="F29" s="122">
        <f>+G8</f>
        <v>132.19113965280667</v>
      </c>
      <c r="G29" s="122"/>
      <c r="H29" s="122"/>
      <c r="I29" s="122" t="s">
        <v>19</v>
      </c>
      <c r="J29" s="130">
        <f>+L8</f>
        <v>46.26689887848233</v>
      </c>
      <c r="K29" s="131">
        <f>+M8</f>
        <v>99.143354739605002</v>
      </c>
      <c r="L29" s="132">
        <f>SUM(F29:J29)</f>
        <v>178.45803853128899</v>
      </c>
      <c r="M29" s="133">
        <f>+($C29+($D29/(Budgetark!$J$6)+$E29*3/4))*$F29+N29+O29/(Budgetark!$J$6)</f>
        <v>0</v>
      </c>
      <c r="N29" s="134">
        <f t="shared" si="0"/>
        <v>0</v>
      </c>
      <c r="O29" s="135">
        <f t="shared" si="1"/>
        <v>0</v>
      </c>
    </row>
    <row r="30" spans="1:16" x14ac:dyDescent="0.2">
      <c r="A30" s="43"/>
      <c r="B30" s="8"/>
      <c r="C30" s="138"/>
      <c r="D30" s="138"/>
      <c r="E30" s="138"/>
      <c r="F30" s="138" t="s">
        <v>19</v>
      </c>
      <c r="G30" s="138"/>
      <c r="H30" s="138"/>
      <c r="I30" s="138"/>
      <c r="J30" s="138"/>
      <c r="K30" s="139"/>
      <c r="L30" s="140" t="s">
        <v>19</v>
      </c>
      <c r="M30" s="133"/>
      <c r="N30" s="134"/>
      <c r="O30" s="135"/>
    </row>
    <row r="31" spans="1:16" x14ac:dyDescent="0.2">
      <c r="A31" s="102" t="s">
        <v>26</v>
      </c>
      <c r="B31" s="121" t="s">
        <v>18</v>
      </c>
      <c r="C31" s="229"/>
      <c r="D31" s="229"/>
      <c r="E31" s="229"/>
      <c r="F31" s="122">
        <f>+G8</f>
        <v>132.19113965280667</v>
      </c>
      <c r="G31" s="122" t="s">
        <v>19</v>
      </c>
      <c r="H31" s="122" t="s">
        <v>19</v>
      </c>
      <c r="I31" s="122" t="s">
        <v>19</v>
      </c>
      <c r="J31" s="130">
        <f>+L8</f>
        <v>46.26689887848233</v>
      </c>
      <c r="K31" s="131">
        <f>+M8</f>
        <v>99.143354739605002</v>
      </c>
      <c r="L31" s="132">
        <f>SUM(F31:J31)</f>
        <v>178.45803853128899</v>
      </c>
      <c r="M31" s="133">
        <f>+($C31+($D31/(Budgetark!$J$6)+$E31*3/4))*$F31+N31+O31/(Budgetark!$J$6)</f>
        <v>0</v>
      </c>
      <c r="N31" s="134">
        <f t="shared" si="0"/>
        <v>0</v>
      </c>
      <c r="O31" s="135">
        <f t="shared" si="1"/>
        <v>0</v>
      </c>
    </row>
    <row r="32" spans="1:16" x14ac:dyDescent="0.2">
      <c r="A32" s="102" t="s">
        <v>26</v>
      </c>
      <c r="B32" s="136" t="s">
        <v>20</v>
      </c>
      <c r="C32" s="229"/>
      <c r="D32" s="229"/>
      <c r="E32" s="229"/>
      <c r="F32" s="122">
        <f>+G8</f>
        <v>132.19113965280667</v>
      </c>
      <c r="G32" s="122"/>
      <c r="H32" s="122"/>
      <c r="I32" s="122"/>
      <c r="J32" s="130"/>
      <c r="K32" s="131">
        <f>+M8</f>
        <v>99.143354739605002</v>
      </c>
      <c r="L32" s="132">
        <f>SUM(F32:J32)</f>
        <v>132.19113965280667</v>
      </c>
      <c r="M32" s="133">
        <f>+($C32+($D32/(Budgetark!$J$6)+$E32*3/4))*$F32+N32+O32/(Budgetark!$J$6)</f>
        <v>0</v>
      </c>
      <c r="N32" s="134">
        <f t="shared" si="0"/>
        <v>0</v>
      </c>
      <c r="O32" s="135">
        <f t="shared" si="1"/>
        <v>0</v>
      </c>
    </row>
    <row r="33" spans="1:18" x14ac:dyDescent="0.2">
      <c r="A33" s="102" t="s">
        <v>26</v>
      </c>
      <c r="B33" s="136" t="s">
        <v>21</v>
      </c>
      <c r="C33" s="229"/>
      <c r="D33" s="229"/>
      <c r="E33" s="229"/>
      <c r="F33" s="122">
        <f>+G8</f>
        <v>132.19113965280667</v>
      </c>
      <c r="G33" s="122"/>
      <c r="H33" s="122"/>
      <c r="I33" s="122">
        <f>+K8</f>
        <v>39.657341895842002</v>
      </c>
      <c r="J33" s="130"/>
      <c r="K33" s="131">
        <f>+M8</f>
        <v>99.143354739605002</v>
      </c>
      <c r="L33" s="132">
        <f>SUM(F33:J33)</f>
        <v>171.84848154864866</v>
      </c>
      <c r="M33" s="133">
        <f>+($C33+($D33/(Budgetark!$J$6)+$E33*3/4))*$F33+N33+O33/(Budgetark!$J$6)</f>
        <v>0</v>
      </c>
      <c r="N33" s="134">
        <f t="shared" si="0"/>
        <v>0</v>
      </c>
      <c r="O33" s="135">
        <f t="shared" si="1"/>
        <v>0</v>
      </c>
    </row>
    <row r="34" spans="1:18" x14ac:dyDescent="0.2">
      <c r="A34" s="102" t="s">
        <v>26</v>
      </c>
      <c r="B34" s="121" t="s">
        <v>22</v>
      </c>
      <c r="C34" s="229"/>
      <c r="D34" s="229"/>
      <c r="E34" s="229"/>
      <c r="F34" s="122">
        <f>+G8</f>
        <v>132.19113965280667</v>
      </c>
      <c r="G34" s="122"/>
      <c r="H34" s="122"/>
      <c r="I34" s="122" t="s">
        <v>19</v>
      </c>
      <c r="J34" s="130">
        <f>+L8</f>
        <v>46.26689887848233</v>
      </c>
      <c r="K34" s="131">
        <f>+M8</f>
        <v>99.143354739605002</v>
      </c>
      <c r="L34" s="132">
        <f>SUM(F34:J34)</f>
        <v>178.45803853128899</v>
      </c>
      <c r="M34" s="133">
        <f>+($C34+($D34/(Budgetark!$J$6)+$E34*3/4))*$F34+N34+O34/(Budgetark!$J$6)</f>
        <v>0</v>
      </c>
      <c r="N34" s="134">
        <f t="shared" si="0"/>
        <v>0</v>
      </c>
      <c r="O34" s="135">
        <f t="shared" si="1"/>
        <v>0</v>
      </c>
    </row>
    <row r="35" spans="1:18" x14ac:dyDescent="0.2">
      <c r="A35" s="43"/>
      <c r="B35" s="8"/>
      <c r="C35" s="138"/>
      <c r="D35" s="138"/>
      <c r="E35" s="138"/>
      <c r="F35" s="138" t="s">
        <v>19</v>
      </c>
      <c r="G35" s="138"/>
      <c r="H35" s="138"/>
      <c r="I35" s="138"/>
      <c r="J35" s="138"/>
      <c r="K35" s="139"/>
      <c r="L35" s="140" t="s">
        <v>19</v>
      </c>
      <c r="M35" s="133"/>
      <c r="N35" s="134"/>
      <c r="O35" s="135"/>
    </row>
    <row r="36" spans="1:18" x14ac:dyDescent="0.2">
      <c r="A36" s="102" t="s">
        <v>27</v>
      </c>
      <c r="B36" s="121" t="s">
        <v>18</v>
      </c>
      <c r="C36" s="229"/>
      <c r="D36" s="229"/>
      <c r="E36" s="229"/>
      <c r="F36" s="122">
        <f>+G8</f>
        <v>132.19113965280667</v>
      </c>
      <c r="G36" s="122"/>
      <c r="H36" s="122"/>
      <c r="I36" s="122" t="s">
        <v>19</v>
      </c>
      <c r="J36" s="130">
        <f>+L8</f>
        <v>46.26689887848233</v>
      </c>
      <c r="K36" s="131">
        <f>+M8</f>
        <v>99.143354739605002</v>
      </c>
      <c r="L36" s="132">
        <f>SUM(F36:J36)</f>
        <v>178.45803853128899</v>
      </c>
      <c r="M36" s="133">
        <f>+($C36+($D36/(Budgetark!$J$6)+$E36*3/4))*$F36+N36+O36/(Budgetark!$J$6)</f>
        <v>0</v>
      </c>
      <c r="N36" s="134">
        <f t="shared" si="0"/>
        <v>0</v>
      </c>
      <c r="O36" s="135">
        <f t="shared" si="1"/>
        <v>0</v>
      </c>
    </row>
    <row r="37" spans="1:18" x14ac:dyDescent="0.2">
      <c r="A37" s="102" t="s">
        <v>27</v>
      </c>
      <c r="B37" s="136" t="s">
        <v>69</v>
      </c>
      <c r="C37" s="229"/>
      <c r="D37" s="229"/>
      <c r="E37" s="229"/>
      <c r="F37" s="122">
        <f>+G8</f>
        <v>132.19113965280667</v>
      </c>
      <c r="G37" s="122"/>
      <c r="H37" s="122"/>
      <c r="I37" s="122"/>
      <c r="J37" s="130"/>
      <c r="K37" s="131">
        <f>+M8</f>
        <v>99.143354739605002</v>
      </c>
      <c r="L37" s="132">
        <f>SUM(F37:J37)</f>
        <v>132.19113965280667</v>
      </c>
      <c r="M37" s="133">
        <f>+($C37+($D37/(Budgetark!$J$6)+$E37*3/4))*$F37+N37+O37/(Budgetark!$J$6)</f>
        <v>0</v>
      </c>
      <c r="N37" s="134">
        <f t="shared" si="0"/>
        <v>0</v>
      </c>
      <c r="O37" s="135">
        <f t="shared" si="1"/>
        <v>0</v>
      </c>
    </row>
    <row r="38" spans="1:18" x14ac:dyDescent="0.2">
      <c r="A38" s="102" t="s">
        <v>27</v>
      </c>
      <c r="B38" s="121" t="s">
        <v>70</v>
      </c>
      <c r="C38" s="229"/>
      <c r="D38" s="229"/>
      <c r="E38" s="229"/>
      <c r="F38" s="122">
        <f>+G8</f>
        <v>132.19113965280667</v>
      </c>
      <c r="G38" s="122" t="s">
        <v>19</v>
      </c>
      <c r="H38" s="122">
        <f>+J8</f>
        <v>39.657341895842002</v>
      </c>
      <c r="I38" s="122" t="s">
        <v>19</v>
      </c>
      <c r="J38" s="130"/>
      <c r="K38" s="131">
        <f>+M8</f>
        <v>99.143354739605002</v>
      </c>
      <c r="L38" s="132">
        <f>SUM(F38:J38)</f>
        <v>171.84848154864866</v>
      </c>
      <c r="M38" s="133">
        <f>+($C38+($D38/(Budgetark!$J$6)+$E38*3/4))*$F38+N38+O38/(Budgetark!$J$6)</f>
        <v>0</v>
      </c>
      <c r="N38" s="134">
        <f t="shared" si="0"/>
        <v>0</v>
      </c>
      <c r="O38" s="135">
        <f t="shared" si="1"/>
        <v>0</v>
      </c>
    </row>
    <row r="39" spans="1:18" x14ac:dyDescent="0.2">
      <c r="A39" s="102" t="s">
        <v>27</v>
      </c>
      <c r="B39" s="121" t="s">
        <v>21</v>
      </c>
      <c r="C39" s="229"/>
      <c r="D39" s="229"/>
      <c r="E39" s="229"/>
      <c r="F39" s="122">
        <f>+G8</f>
        <v>132.19113965280667</v>
      </c>
      <c r="G39" s="122" t="s">
        <v>19</v>
      </c>
      <c r="H39" s="122">
        <f>+J8</f>
        <v>39.657341895842002</v>
      </c>
      <c r="I39" s="122">
        <f>+K8</f>
        <v>39.657341895842002</v>
      </c>
      <c r="J39" s="130"/>
      <c r="K39" s="131">
        <f>+M8</f>
        <v>99.143354739605002</v>
      </c>
      <c r="L39" s="132">
        <f>SUM(F39:J39)</f>
        <v>211.50582344449066</v>
      </c>
      <c r="M39" s="133">
        <f>+($C39+($D39/(Budgetark!$J$6)+$E39*3/4))*$F39+N39+O39/(Budgetark!$J$6)</f>
        <v>0</v>
      </c>
      <c r="N39" s="134">
        <f t="shared" si="0"/>
        <v>0</v>
      </c>
      <c r="O39" s="135">
        <f t="shared" si="1"/>
        <v>0</v>
      </c>
    </row>
    <row r="40" spans="1:18" x14ac:dyDescent="0.2">
      <c r="A40" s="102" t="s">
        <v>27</v>
      </c>
      <c r="B40" s="121" t="s">
        <v>22</v>
      </c>
      <c r="C40" s="229"/>
      <c r="D40" s="229"/>
      <c r="E40" s="229"/>
      <c r="F40" s="122">
        <f>+G8</f>
        <v>132.19113965280667</v>
      </c>
      <c r="G40" s="122" t="s">
        <v>19</v>
      </c>
      <c r="H40" s="122">
        <f>+J8</f>
        <v>39.657341895842002</v>
      </c>
      <c r="I40" s="122" t="s">
        <v>19</v>
      </c>
      <c r="J40" s="130">
        <f>+L8</f>
        <v>46.26689887848233</v>
      </c>
      <c r="K40" s="131">
        <f>+M8</f>
        <v>99.143354739605002</v>
      </c>
      <c r="L40" s="132">
        <f>SUM(F40:J40)</f>
        <v>218.11538042713099</v>
      </c>
      <c r="M40" s="133">
        <f>+($C40+($D40/(Budgetark!$J$6)+$E40*3/4))*$F40+N40+O40/(Budgetark!$J$6)</f>
        <v>0</v>
      </c>
      <c r="N40" s="134">
        <f t="shared" si="0"/>
        <v>0</v>
      </c>
      <c r="O40" s="135">
        <f t="shared" si="1"/>
        <v>0</v>
      </c>
    </row>
    <row r="41" spans="1:18" x14ac:dyDescent="0.2">
      <c r="A41" s="43"/>
      <c r="B41" s="8"/>
      <c r="C41" s="138"/>
      <c r="D41" s="138"/>
      <c r="E41" s="138"/>
      <c r="F41" s="138" t="s">
        <v>19</v>
      </c>
      <c r="G41" s="138"/>
      <c r="H41" s="138"/>
      <c r="I41" s="138"/>
      <c r="J41" s="138"/>
      <c r="K41" s="139"/>
      <c r="L41" s="140" t="s">
        <v>19</v>
      </c>
      <c r="M41" s="133"/>
      <c r="N41" s="134"/>
      <c r="O41" s="135"/>
    </row>
    <row r="42" spans="1:18" x14ac:dyDescent="0.2">
      <c r="A42" s="102" t="s">
        <v>28</v>
      </c>
      <c r="B42" s="121" t="s">
        <v>18</v>
      </c>
      <c r="C42" s="229"/>
      <c r="D42" s="229"/>
      <c r="E42" s="229"/>
      <c r="F42" s="122">
        <f>+G8</f>
        <v>132.19113965280667</v>
      </c>
      <c r="G42" s="122">
        <f>+I8</f>
        <v>66.095569826403334</v>
      </c>
      <c r="H42" s="122"/>
      <c r="I42" s="122" t="s">
        <v>19</v>
      </c>
      <c r="J42" s="130">
        <f>+L8</f>
        <v>46.26689887848233</v>
      </c>
      <c r="K42" s="131">
        <f>+M8</f>
        <v>99.143354739605002</v>
      </c>
      <c r="L42" s="132">
        <f>SUM(F42:J42)</f>
        <v>244.55360835769233</v>
      </c>
      <c r="M42" s="133">
        <f>+($C42+($D42/(Budgetark!$J$6)+$E42*3/4))*$F42+N42+O42/(Budgetark!$J$6)</f>
        <v>0</v>
      </c>
      <c r="N42" s="134">
        <f t="shared" si="0"/>
        <v>0</v>
      </c>
      <c r="O42" s="135">
        <f t="shared" si="1"/>
        <v>0</v>
      </c>
    </row>
    <row r="43" spans="1:18" x14ac:dyDescent="0.2">
      <c r="A43" s="102" t="s">
        <v>28</v>
      </c>
      <c r="B43" s="121" t="s">
        <v>20</v>
      </c>
      <c r="C43" s="229"/>
      <c r="D43" s="229"/>
      <c r="E43" s="229"/>
      <c r="F43" s="122">
        <f>+G8</f>
        <v>132.19113965280667</v>
      </c>
      <c r="G43" s="122">
        <f>+I8</f>
        <v>66.095569826403334</v>
      </c>
      <c r="H43" s="122"/>
      <c r="I43" s="122"/>
      <c r="J43" s="130"/>
      <c r="K43" s="131">
        <f>+M8</f>
        <v>99.143354739605002</v>
      </c>
      <c r="L43" s="132">
        <f>SUM(F43:J43)</f>
        <v>198.28670947921</v>
      </c>
      <c r="M43" s="133">
        <f>+($C43+($D43/(Budgetark!$J$6)+$E43*3/4))*$F43+N43+O43/(Budgetark!$J$6)</f>
        <v>0</v>
      </c>
      <c r="N43" s="134">
        <f t="shared" si="0"/>
        <v>0</v>
      </c>
      <c r="O43" s="135">
        <f t="shared" si="1"/>
        <v>0</v>
      </c>
    </row>
    <row r="44" spans="1:18" x14ac:dyDescent="0.2">
      <c r="A44" s="102" t="s">
        <v>28</v>
      </c>
      <c r="B44" s="121" t="s">
        <v>21</v>
      </c>
      <c r="C44" s="229"/>
      <c r="D44" s="229"/>
      <c r="E44" s="229"/>
      <c r="F44" s="122">
        <f>+G8</f>
        <v>132.19113965280667</v>
      </c>
      <c r="G44" s="122">
        <f>+I8</f>
        <v>66.095569826403334</v>
      </c>
      <c r="H44" s="122"/>
      <c r="I44" s="122">
        <f>+K8</f>
        <v>39.657341895842002</v>
      </c>
      <c r="J44" s="130"/>
      <c r="K44" s="131">
        <f>+M8</f>
        <v>99.143354739605002</v>
      </c>
      <c r="L44" s="132">
        <f>SUM(F44:J44)</f>
        <v>237.944051375052</v>
      </c>
      <c r="M44" s="133">
        <f>+($C44+($D44/(Budgetark!$J$6)+$E44*3/4))*$F44+N44+O44/(Budgetark!$J$6)</f>
        <v>0</v>
      </c>
      <c r="N44" s="134">
        <f t="shared" si="0"/>
        <v>0</v>
      </c>
      <c r="O44" s="135">
        <f t="shared" si="1"/>
        <v>0</v>
      </c>
      <c r="P44" s="141"/>
    </row>
    <row r="45" spans="1:18" ht="13.5" thickBot="1" x14ac:dyDescent="0.25">
      <c r="A45" s="102" t="s">
        <v>28</v>
      </c>
      <c r="B45" s="121" t="s">
        <v>22</v>
      </c>
      <c r="C45" s="229"/>
      <c r="D45" s="229"/>
      <c r="E45" s="229"/>
      <c r="F45" s="122">
        <f>+G8</f>
        <v>132.19113965280667</v>
      </c>
      <c r="G45" s="122">
        <f>+I8</f>
        <v>66.095569826403334</v>
      </c>
      <c r="H45" s="122"/>
      <c r="I45" s="122" t="s">
        <v>19</v>
      </c>
      <c r="J45" s="130">
        <f>+L8</f>
        <v>46.26689887848233</v>
      </c>
      <c r="K45" s="143">
        <f>+M8</f>
        <v>99.143354739605002</v>
      </c>
      <c r="L45" s="144">
        <f>SUM(F45:J45)</f>
        <v>244.55360835769233</v>
      </c>
      <c r="M45" s="133">
        <f>+($C45+($D45/(Budgetark!$J$6)+$E45*3/4))*$F45+N45+O45/(Budgetark!$J$6)</f>
        <v>0</v>
      </c>
      <c r="N45" s="134">
        <f t="shared" si="0"/>
        <v>0</v>
      </c>
      <c r="O45" s="135">
        <f t="shared" si="1"/>
        <v>0</v>
      </c>
    </row>
    <row r="46" spans="1:18" x14ac:dyDescent="0.2">
      <c r="A46" s="145" t="s">
        <v>0</v>
      </c>
      <c r="B46" s="146"/>
      <c r="C46" s="147">
        <f>SUM(C11:C45)</f>
        <v>0</v>
      </c>
      <c r="D46" s="147">
        <f>SUM(D11:D45)</f>
        <v>0</v>
      </c>
      <c r="E46" s="147">
        <f>SUM(E11:E45)</f>
        <v>0</v>
      </c>
      <c r="F46" s="138">
        <f>C46+E46+D46/(Budgetark!J6)</f>
        <v>0</v>
      </c>
      <c r="G46" s="138">
        <f>C42+C43+C44+C45+(D42+D43+D44+D45)/(Budgetark!J6)</f>
        <v>0</v>
      </c>
      <c r="H46" s="148">
        <f>C38+C39+C40+(D38+D39+D40)/(Budgetark!J6)</f>
        <v>0</v>
      </c>
      <c r="I46" s="148">
        <f>C13+C23+C28+C33+C39+C44+C18+(D13+D23+D28+D33+D39+D44+D18)/(Budgetark!J6)</f>
        <v>0</v>
      </c>
      <c r="J46" s="148">
        <f>C11+(D11+D14+D16+D19+D21+D24+D26+D29+D31+D34+D36+D40+D42+D45)/(Budgetark!J6)+C14+C16+C19+C21+C24+C26+C29+C31+C34+C36+C40+C42+C45</f>
        <v>0</v>
      </c>
      <c r="K46" s="138"/>
      <c r="L46" s="138"/>
      <c r="M46" s="12"/>
      <c r="N46" s="141">
        <f>SUM(N11:N45)</f>
        <v>0</v>
      </c>
      <c r="O46" s="141">
        <f>SUM(O11:O45)</f>
        <v>0</v>
      </c>
      <c r="P46" s="149"/>
      <c r="Q46" s="113"/>
      <c r="R46" s="113"/>
    </row>
    <row r="47" spans="1:18" x14ac:dyDescent="0.2">
      <c r="A47" s="151"/>
      <c r="B47" s="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2"/>
      <c r="N47" s="137"/>
      <c r="O47" s="150"/>
      <c r="P47" s="150"/>
      <c r="Q47" s="113"/>
      <c r="R47" s="113"/>
    </row>
    <row r="48" spans="1:18" x14ac:dyDescent="0.2">
      <c r="A48" s="43"/>
      <c r="B48" s="8"/>
      <c r="C48" s="138"/>
      <c r="D48" s="138"/>
      <c r="E48" s="138"/>
      <c r="F48" s="138" t="s">
        <v>29</v>
      </c>
      <c r="G48" s="138" t="s">
        <v>30</v>
      </c>
      <c r="H48" s="138"/>
      <c r="I48" s="138"/>
      <c r="J48" s="138"/>
      <c r="K48" s="138"/>
      <c r="L48" s="138"/>
      <c r="M48" s="12"/>
      <c r="O48" s="150"/>
      <c r="P48" s="150"/>
      <c r="Q48" s="113"/>
      <c r="R48" s="113"/>
    </row>
    <row r="49" spans="1:23" ht="13.5" x14ac:dyDescent="0.2">
      <c r="A49" s="152" t="s">
        <v>71</v>
      </c>
      <c r="B49" s="153"/>
      <c r="C49" s="154"/>
      <c r="D49" s="154"/>
      <c r="E49" s="86">
        <f>(C46+E46)/7+D46/(E6-C6+1)</f>
        <v>0</v>
      </c>
      <c r="F49" s="155">
        <v>11.5</v>
      </c>
      <c r="G49" s="122">
        <f>G8*Forudsætninger!I44</f>
        <v>66.095569826403334</v>
      </c>
      <c r="H49" s="156"/>
      <c r="I49" s="123"/>
      <c r="J49" s="138"/>
      <c r="K49" s="157" t="s">
        <v>31</v>
      </c>
      <c r="L49" s="147"/>
      <c r="M49" s="89">
        <f>E49*F49*G49/(Budgetark!J7)</f>
        <v>0</v>
      </c>
      <c r="O49" s="150"/>
      <c r="P49" s="150"/>
      <c r="Q49" s="158"/>
      <c r="R49" s="113"/>
    </row>
    <row r="50" spans="1:23" x14ac:dyDescent="0.2">
      <c r="A50" s="159"/>
      <c r="B50" s="160"/>
      <c r="C50" s="123"/>
      <c r="D50" s="123"/>
      <c r="E50" s="123" t="s">
        <v>32</v>
      </c>
      <c r="F50" s="161" t="s">
        <v>33</v>
      </c>
      <c r="G50" s="123"/>
      <c r="H50" s="123"/>
      <c r="I50" s="123"/>
      <c r="J50" s="123"/>
      <c r="K50" s="123"/>
      <c r="L50" s="123"/>
      <c r="M50" s="162"/>
      <c r="O50" s="150"/>
      <c r="P50" s="150"/>
      <c r="Q50" s="158"/>
      <c r="R50" s="113"/>
    </row>
    <row r="51" spans="1:23" x14ac:dyDescent="0.2">
      <c r="A51" s="152" t="s">
        <v>93</v>
      </c>
      <c r="B51" s="153"/>
      <c r="C51" s="154"/>
      <c r="D51" s="154"/>
      <c r="E51" s="229">
        <f>+ROUNDUP(($F$46*52.1428571428571)/Forudsætninger!$F$86,0)</f>
        <v>0</v>
      </c>
      <c r="F51" s="230">
        <v>0</v>
      </c>
      <c r="G51" s="154">
        <f>+G8</f>
        <v>132.19113965280667</v>
      </c>
      <c r="H51" s="123"/>
      <c r="I51" s="123"/>
      <c r="J51" s="138"/>
      <c r="K51" s="157" t="s">
        <v>31</v>
      </c>
      <c r="L51" s="147"/>
      <c r="M51" s="163">
        <f>+(E51*F51*G51)/(Budgetark!J7)</f>
        <v>0</v>
      </c>
    </row>
    <row r="52" spans="1:23" x14ac:dyDescent="0.2">
      <c r="A52" s="159"/>
      <c r="B52" s="160"/>
      <c r="C52" s="123"/>
      <c r="D52" s="123"/>
      <c r="E52" s="123"/>
      <c r="F52" s="161"/>
      <c r="G52" s="164"/>
      <c r="H52" s="123"/>
      <c r="I52" s="123"/>
      <c r="J52" s="138"/>
      <c r="K52" s="138"/>
      <c r="L52" s="138"/>
      <c r="M52" s="94"/>
    </row>
    <row r="53" spans="1:23" x14ac:dyDescent="0.2">
      <c r="A53" s="152" t="s">
        <v>92</v>
      </c>
      <c r="B53" s="153"/>
      <c r="C53" s="154"/>
      <c r="D53" s="154"/>
      <c r="E53" s="229">
        <f>+ROUNDUP(E51*0.3,0)</f>
        <v>0</v>
      </c>
      <c r="F53" s="230">
        <v>0</v>
      </c>
      <c r="G53" s="154" t="e">
        <f>+SUM(M11:M45)/F46</f>
        <v>#DIV/0!</v>
      </c>
      <c r="H53" s="123"/>
      <c r="I53" s="123"/>
      <c r="J53" s="138"/>
      <c r="K53" s="157" t="s">
        <v>31</v>
      </c>
      <c r="L53" s="147"/>
      <c r="M53" s="163" t="e">
        <f>+E53*F53*G53/(Budgetark!J7)</f>
        <v>#DIV/0!</v>
      </c>
    </row>
    <row r="54" spans="1:23" x14ac:dyDescent="0.2">
      <c r="A54" s="159"/>
      <c r="B54" s="160"/>
      <c r="C54" s="123"/>
      <c r="D54" s="123"/>
      <c r="E54" s="123" t="s">
        <v>1</v>
      </c>
      <c r="F54" s="123" t="s">
        <v>297</v>
      </c>
      <c r="G54" s="164"/>
      <c r="H54" s="123"/>
      <c r="I54" s="123"/>
      <c r="J54" s="138"/>
      <c r="K54" s="138"/>
      <c r="L54" s="138"/>
      <c r="M54" s="94"/>
    </row>
    <row r="55" spans="1:23" x14ac:dyDescent="0.2">
      <c r="A55" s="152" t="s">
        <v>34</v>
      </c>
      <c r="B55" s="153"/>
      <c r="C55" s="154"/>
      <c r="D55" s="154"/>
      <c r="E55" s="231">
        <v>0</v>
      </c>
      <c r="F55" s="165">
        <f>(F46-E46/4)*Budgetark!J6+(E51*F51+E53*F53)*Budgetark!J6/Budgetark!J7</f>
        <v>0</v>
      </c>
      <c r="G55" s="166"/>
      <c r="H55" s="123"/>
      <c r="I55" s="123"/>
      <c r="J55" s="138"/>
      <c r="K55" s="157" t="s">
        <v>31</v>
      </c>
      <c r="L55" s="147"/>
      <c r="M55" s="94">
        <f>(E55*F55)/(Budgetark!J6)</f>
        <v>0</v>
      </c>
    </row>
    <row r="56" spans="1:23" x14ac:dyDescent="0.2">
      <c r="A56" s="159"/>
      <c r="B56" s="160"/>
      <c r="C56" s="123"/>
      <c r="D56" s="123"/>
      <c r="E56" s="123" t="s">
        <v>36</v>
      </c>
      <c r="F56" s="161"/>
      <c r="G56" s="123"/>
      <c r="H56" s="123"/>
      <c r="I56" s="123"/>
      <c r="J56" s="123"/>
      <c r="K56" s="123"/>
      <c r="L56" s="123"/>
      <c r="M56" s="167"/>
    </row>
    <row r="57" spans="1:23" x14ac:dyDescent="0.2">
      <c r="A57" s="152" t="s">
        <v>35</v>
      </c>
      <c r="B57" s="153"/>
      <c r="C57" s="154"/>
      <c r="D57" s="154"/>
      <c r="E57" s="168" t="e">
        <f>SUM(M11:M51)+((M61+M62+M63)/3)+M55+M53</f>
        <v>#DIV/0!</v>
      </c>
      <c r="F57" s="166">
        <f>+Forudsætninger!I48</f>
        <v>0.125</v>
      </c>
      <c r="G57" s="166"/>
      <c r="H57" s="123"/>
      <c r="I57" s="123"/>
      <c r="J57" s="138"/>
      <c r="K57" s="157" t="s">
        <v>31</v>
      </c>
      <c r="L57" s="147"/>
      <c r="M57" s="94" t="e">
        <f>E57*F57</f>
        <v>#DIV/0!</v>
      </c>
      <c r="N57" s="112"/>
      <c r="P57" s="169"/>
      <c r="Q57" s="113"/>
      <c r="R57" s="113"/>
      <c r="S57" s="113"/>
      <c r="U57" s="112"/>
    </row>
    <row r="58" spans="1:23" x14ac:dyDescent="0.2">
      <c r="A58" s="159"/>
      <c r="B58" s="160"/>
      <c r="C58" s="123"/>
      <c r="D58" s="123"/>
      <c r="E58" s="123" t="s">
        <v>36</v>
      </c>
      <c r="F58" s="150"/>
      <c r="G58" s="164"/>
      <c r="H58" s="123"/>
      <c r="I58" s="123"/>
      <c r="J58" s="138"/>
      <c r="K58" s="138"/>
      <c r="L58" s="138"/>
      <c r="M58" s="94"/>
    </row>
    <row r="59" spans="1:23" x14ac:dyDescent="0.2">
      <c r="A59" s="152" t="s">
        <v>232</v>
      </c>
      <c r="B59" s="153"/>
      <c r="C59" s="154"/>
      <c r="D59" s="232" t="s">
        <v>294</v>
      </c>
      <c r="E59" s="168" t="e">
        <f>E57</f>
        <v>#DIV/0!</v>
      </c>
      <c r="F59" s="166">
        <f>+IF(D59="Ja",Forudsætninger!I49,0)</f>
        <v>0</v>
      </c>
      <c r="G59" s="166"/>
      <c r="H59" s="123"/>
      <c r="I59" s="123"/>
      <c r="J59" s="138"/>
      <c r="K59" s="157" t="s">
        <v>31</v>
      </c>
      <c r="L59" s="147"/>
      <c r="M59" s="94" t="e">
        <f>E59*F59</f>
        <v>#DIV/0!</v>
      </c>
      <c r="P59" s="170"/>
      <c r="U59" s="112"/>
      <c r="V59" s="112"/>
      <c r="W59" s="112"/>
    </row>
    <row r="60" spans="1:23" x14ac:dyDescent="0.2">
      <c r="A60" s="159"/>
      <c r="B60" s="160"/>
      <c r="C60" s="123"/>
      <c r="D60" s="123"/>
      <c r="E60" s="123" t="s">
        <v>36</v>
      </c>
      <c r="F60" s="161" t="s">
        <v>38</v>
      </c>
      <c r="G60" s="123"/>
      <c r="H60" s="123"/>
      <c r="I60" s="123"/>
      <c r="J60" s="138"/>
      <c r="K60" s="138"/>
      <c r="L60" s="138"/>
      <c r="M60" s="94"/>
      <c r="N60" s="112"/>
      <c r="P60" s="112"/>
      <c r="U60" s="112"/>
      <c r="V60" s="112"/>
      <c r="W60" s="112"/>
    </row>
    <row r="61" spans="1:23" ht="21.75" x14ac:dyDescent="0.2">
      <c r="A61" s="152" t="s">
        <v>240</v>
      </c>
      <c r="B61" s="153"/>
      <c r="C61" s="154"/>
      <c r="D61" s="247" t="s">
        <v>241</v>
      </c>
      <c r="E61" s="171">
        <f>(F55/Budgetark!J6)*G8</f>
        <v>0</v>
      </c>
      <c r="F61" s="166">
        <f>+IF(D61="Forhøjet pensionssats",Forudsætninger!I52,Forudsætninger!B52)</f>
        <v>0.12889999999999999</v>
      </c>
      <c r="G61" s="122"/>
      <c r="H61" s="123"/>
      <c r="I61" s="123"/>
      <c r="J61" s="138"/>
      <c r="K61" s="157" t="s">
        <v>31</v>
      </c>
      <c r="L61" s="147"/>
      <c r="M61" s="163">
        <f>E61*F61</f>
        <v>0</v>
      </c>
      <c r="N61" s="112"/>
      <c r="P61" s="170"/>
      <c r="U61" s="112"/>
      <c r="V61" s="112"/>
      <c r="W61" s="112"/>
    </row>
    <row r="62" spans="1:23" x14ac:dyDescent="0.2">
      <c r="A62" s="152" t="s">
        <v>40</v>
      </c>
      <c r="B62" s="153"/>
      <c r="C62" s="154"/>
      <c r="D62" s="154"/>
      <c r="E62" s="171">
        <f>I46*K8+J46*L8</f>
        <v>0</v>
      </c>
      <c r="F62" s="166">
        <f>+Forudsætninger!I53</f>
        <v>0.05</v>
      </c>
      <c r="G62" s="122"/>
      <c r="H62" s="123"/>
      <c r="I62" s="123"/>
      <c r="J62" s="138"/>
      <c r="K62" s="157" t="s">
        <v>31</v>
      </c>
      <c r="L62" s="147"/>
      <c r="M62" s="163">
        <f>E62*F62</f>
        <v>0</v>
      </c>
      <c r="N62" s="173"/>
      <c r="P62" s="173"/>
      <c r="Q62" s="173"/>
      <c r="R62" s="173"/>
      <c r="S62" s="173"/>
      <c r="T62" s="173"/>
      <c r="U62" s="173"/>
      <c r="V62" s="112"/>
      <c r="W62" s="112"/>
    </row>
    <row r="63" spans="1:23" x14ac:dyDescent="0.2">
      <c r="A63" s="152" t="s">
        <v>99</v>
      </c>
      <c r="B63" s="153"/>
      <c r="C63" s="154"/>
      <c r="D63" s="154"/>
      <c r="E63" s="171">
        <f>+G46*I8+H46*J8+M49</f>
        <v>0</v>
      </c>
      <c r="F63" s="166">
        <f>+Forudsætninger!I54</f>
        <v>0.01</v>
      </c>
      <c r="G63" s="122"/>
      <c r="H63" s="123"/>
      <c r="I63" s="123"/>
      <c r="J63" s="138"/>
      <c r="K63" s="157" t="s">
        <v>31</v>
      </c>
      <c r="L63" s="147"/>
      <c r="M63" s="163">
        <f>E63*F63</f>
        <v>0</v>
      </c>
      <c r="N63" s="173"/>
      <c r="P63" s="173"/>
      <c r="Q63" s="173"/>
      <c r="R63" s="173"/>
      <c r="S63" s="173"/>
      <c r="T63" s="173"/>
      <c r="U63" s="173"/>
      <c r="V63" s="112"/>
      <c r="W63" s="112"/>
    </row>
    <row r="64" spans="1:23" x14ac:dyDescent="0.2">
      <c r="A64" s="174"/>
      <c r="B64" s="175"/>
      <c r="C64" s="176"/>
      <c r="D64" s="176"/>
      <c r="E64" s="123" t="s">
        <v>2</v>
      </c>
      <c r="F64" s="123" t="s">
        <v>82</v>
      </c>
      <c r="G64" s="138" t="s">
        <v>46</v>
      </c>
      <c r="K64" s="138"/>
      <c r="L64" s="138"/>
      <c r="M64" s="177"/>
    </row>
    <row r="65" spans="1:21" x14ac:dyDescent="0.2">
      <c r="A65" s="152" t="s">
        <v>209</v>
      </c>
      <c r="B65" s="178"/>
      <c r="C65" s="179"/>
      <c r="D65" s="179"/>
      <c r="E65" s="180">
        <f>(F46*Budgetark!J7+$E$51*$F$51+$E$53*$F$53)/Forudsætninger!$F$86*Forudsætninger!$F$81/(Budgetark!J7)</f>
        <v>0</v>
      </c>
      <c r="F65" s="181">
        <f>(F46*Budgetark!J7+$E$51*$F$51+$E$53*$F$53)/Forudsætninger!$F$86*(Forudsætninger!$F$83+Forudsætninger!$F$84)/(Budgetark!J7)</f>
        <v>0</v>
      </c>
      <c r="G65" s="240">
        <f>(F46*Budgetark!J7+$E$51*$F$51+$E$53*$F$53)/Forudsætninger!$F$86*Forudsætninger!$F$82/(Budgetark!J7)</f>
        <v>0</v>
      </c>
      <c r="K65" s="157" t="s">
        <v>31</v>
      </c>
      <c r="L65" s="147"/>
      <c r="M65" s="89">
        <f>E65+F65+G65</f>
        <v>0</v>
      </c>
      <c r="P65" s="112"/>
      <c r="U65" s="112"/>
    </row>
    <row r="66" spans="1:21" x14ac:dyDescent="0.2">
      <c r="A66" s="184"/>
      <c r="B66" s="160"/>
      <c r="C66" s="123"/>
      <c r="D66" s="123"/>
      <c r="E66" s="123" t="s">
        <v>161</v>
      </c>
      <c r="F66" s="185" t="s">
        <v>275</v>
      </c>
      <c r="G66" s="164"/>
      <c r="H66" s="186"/>
      <c r="I66" s="186"/>
      <c r="J66" s="186"/>
      <c r="K66" s="138"/>
      <c r="L66" s="138"/>
      <c r="M66" s="94"/>
      <c r="P66" s="112"/>
      <c r="U66" s="112"/>
    </row>
    <row r="67" spans="1:21" x14ac:dyDescent="0.2">
      <c r="A67" s="187" t="s">
        <v>279</v>
      </c>
      <c r="B67" s="153"/>
      <c r="C67" s="154"/>
      <c r="D67" s="122"/>
      <c r="E67" s="86">
        <f>Forudsætninger!D100</f>
        <v>19</v>
      </c>
      <c r="F67" s="231">
        <v>0</v>
      </c>
      <c r="G67" s="166"/>
      <c r="H67" s="186"/>
      <c r="I67" s="186"/>
      <c r="J67" s="186"/>
      <c r="K67" s="157" t="s">
        <v>31</v>
      </c>
      <c r="L67" s="147"/>
      <c r="M67" s="89">
        <f>E67*F67/(Budgetark!J7)</f>
        <v>0</v>
      </c>
      <c r="P67" s="112"/>
      <c r="U67" s="112"/>
    </row>
    <row r="68" spans="1:21" x14ac:dyDescent="0.2">
      <c r="A68" s="159"/>
      <c r="B68" s="160"/>
      <c r="C68" s="123"/>
      <c r="D68" s="123"/>
      <c r="E68" s="123"/>
      <c r="F68" s="161"/>
      <c r="G68" s="123" t="s">
        <v>84</v>
      </c>
      <c r="H68" s="123"/>
      <c r="I68" s="123"/>
      <c r="J68" s="123"/>
      <c r="K68" s="123"/>
      <c r="L68" s="123"/>
      <c r="M68" s="12"/>
    </row>
    <row r="69" spans="1:21" x14ac:dyDescent="0.2">
      <c r="A69" s="187" t="s">
        <v>211</v>
      </c>
      <c r="B69" s="190"/>
      <c r="C69" s="191"/>
      <c r="D69" s="191"/>
      <c r="E69" s="241"/>
      <c r="F69" s="209"/>
      <c r="G69" s="242">
        <f>+Forudsætninger!I64/100</f>
        <v>0.72599999999999998</v>
      </c>
      <c r="H69" s="243"/>
      <c r="I69" s="243"/>
      <c r="J69" s="243"/>
      <c r="K69" s="157" t="s">
        <v>31</v>
      </c>
      <c r="L69" s="147"/>
      <c r="M69" s="89">
        <f>($F$46+($E$51*$F$51+$E$53*$F$53)/Budgetark!$J$7)*G69</f>
        <v>0</v>
      </c>
    </row>
    <row r="70" spans="1:21" ht="22.5" customHeight="1" x14ac:dyDescent="0.2">
      <c r="A70" s="159"/>
      <c r="B70" s="160"/>
      <c r="C70" s="123"/>
      <c r="D70" s="123"/>
      <c r="E70" s="138" t="s">
        <v>161</v>
      </c>
      <c r="F70" s="188" t="s">
        <v>163</v>
      </c>
      <c r="G70" s="189" t="s">
        <v>162</v>
      </c>
      <c r="H70" s="123"/>
      <c r="I70" s="123"/>
      <c r="J70" s="123"/>
      <c r="K70" s="123"/>
      <c r="L70" s="123"/>
      <c r="M70" s="12"/>
    </row>
    <row r="71" spans="1:21" x14ac:dyDescent="0.2">
      <c r="A71" s="187" t="s">
        <v>276</v>
      </c>
      <c r="B71" s="190"/>
      <c r="C71" s="191"/>
      <c r="D71" s="154"/>
      <c r="E71" s="86">
        <f>Forudsætninger!D65*G8</f>
        <v>66.095569826403334</v>
      </c>
      <c r="F71" s="231">
        <v>0</v>
      </c>
      <c r="G71" s="233">
        <v>0</v>
      </c>
      <c r="H71" s="192"/>
      <c r="I71" s="192"/>
      <c r="J71" s="192"/>
      <c r="K71" s="157" t="s">
        <v>31</v>
      </c>
      <c r="L71" s="193"/>
      <c r="M71" s="89">
        <f>+E71*F71*G71/(Budgetark!J6)</f>
        <v>0</v>
      </c>
    </row>
    <row r="72" spans="1:21" x14ac:dyDescent="0.2">
      <c r="A72" s="159"/>
      <c r="B72" s="160"/>
      <c r="C72" s="123"/>
      <c r="D72" s="123"/>
      <c r="E72" s="138" t="s">
        <v>161</v>
      </c>
      <c r="F72" s="161"/>
      <c r="G72" s="189"/>
      <c r="H72" s="123"/>
      <c r="I72" s="123"/>
      <c r="J72" s="123"/>
      <c r="K72" s="123"/>
      <c r="L72" s="123"/>
      <c r="M72" s="12"/>
    </row>
    <row r="73" spans="1:21" x14ac:dyDescent="0.2">
      <c r="A73" s="187" t="s">
        <v>277</v>
      </c>
      <c r="B73" s="190"/>
      <c r="C73" s="191"/>
      <c r="D73" s="154"/>
      <c r="E73" s="86">
        <f>+Forudsætninger!K71</f>
        <v>452.48</v>
      </c>
      <c r="F73" s="165"/>
      <c r="G73" s="233">
        <v>0</v>
      </c>
      <c r="H73" s="192"/>
      <c r="I73" s="192"/>
      <c r="J73" s="192"/>
      <c r="K73" s="157" t="s">
        <v>31</v>
      </c>
      <c r="L73" s="193"/>
      <c r="M73" s="89">
        <f>+E73*G73/(Budgetark!J6)</f>
        <v>0</v>
      </c>
    </row>
    <row r="74" spans="1:21" ht="21.75" x14ac:dyDescent="0.2">
      <c r="A74" s="159"/>
      <c r="B74" s="160"/>
      <c r="C74" s="123"/>
      <c r="D74" s="123"/>
      <c r="E74" s="138" t="s">
        <v>161</v>
      </c>
      <c r="F74" s="161" t="s">
        <v>231</v>
      </c>
      <c r="G74" s="189" t="s">
        <v>165</v>
      </c>
      <c r="H74" s="123"/>
      <c r="I74" s="123"/>
      <c r="J74" s="123"/>
      <c r="K74" s="123"/>
      <c r="L74" s="123"/>
      <c r="M74" s="12"/>
    </row>
    <row r="75" spans="1:21" x14ac:dyDescent="0.2">
      <c r="A75" s="187" t="s">
        <v>278</v>
      </c>
      <c r="B75" s="190"/>
      <c r="C75" s="191"/>
      <c r="D75" s="154"/>
      <c r="E75" s="86">
        <f>+G8*Forudsætninger!D73</f>
        <v>66.095569826403334</v>
      </c>
      <c r="F75" s="231">
        <v>0</v>
      </c>
      <c r="G75" s="233">
        <v>0</v>
      </c>
      <c r="H75" s="192"/>
      <c r="I75" s="192"/>
      <c r="J75" s="192"/>
      <c r="K75" s="157" t="s">
        <v>31</v>
      </c>
      <c r="L75" s="193"/>
      <c r="M75" s="89">
        <f>+E75*F75*G75/(Budgetark!J6)</f>
        <v>0</v>
      </c>
    </row>
    <row r="76" spans="1:21" ht="24" customHeight="1" x14ac:dyDescent="0.2">
      <c r="A76" s="159"/>
      <c r="B76" s="160"/>
      <c r="C76" s="123"/>
      <c r="D76" s="123"/>
      <c r="E76" s="138" t="s">
        <v>183</v>
      </c>
      <c r="F76" s="188" t="s">
        <v>182</v>
      </c>
      <c r="G76" s="123"/>
      <c r="H76" s="123"/>
      <c r="I76" s="123"/>
      <c r="J76" s="123"/>
      <c r="K76" s="123"/>
      <c r="L76" s="123"/>
      <c r="M76" s="12"/>
    </row>
    <row r="77" spans="1:21" x14ac:dyDescent="0.2">
      <c r="A77" s="187" t="s">
        <v>117</v>
      </c>
      <c r="B77" s="190"/>
      <c r="C77" s="191"/>
      <c r="D77" s="154"/>
      <c r="E77" s="86">
        <f>+Forudsætninger!F85</f>
        <v>295</v>
      </c>
      <c r="F77" s="194">
        <f>(F46*Budgetark!J7+$E$51*$F$51+$E$53*$F$53)/Forudsætninger!F86</f>
        <v>0</v>
      </c>
      <c r="G77" s="194"/>
      <c r="H77" s="192"/>
      <c r="I77" s="192"/>
      <c r="J77" s="192"/>
      <c r="K77" s="157" t="s">
        <v>31</v>
      </c>
      <c r="L77" s="193"/>
      <c r="M77" s="89">
        <f>+E77*F77/(Budgetark!J7)</f>
        <v>0</v>
      </c>
    </row>
    <row r="78" spans="1:21" ht="13.5" thickBot="1" x14ac:dyDescent="0.25">
      <c r="A78" s="43"/>
      <c r="B78" s="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2"/>
    </row>
    <row r="79" spans="1:21" ht="14.25" customHeight="1" thickBot="1" x14ac:dyDescent="0.25">
      <c r="A79" s="195" t="s">
        <v>43</v>
      </c>
      <c r="B79" s="196"/>
      <c r="C79" s="196"/>
      <c r="D79" s="196"/>
      <c r="E79" s="196"/>
      <c r="F79" s="196"/>
      <c r="G79" s="196"/>
      <c r="H79" s="196"/>
      <c r="I79" s="196"/>
      <c r="J79" s="196"/>
      <c r="K79" s="196"/>
      <c r="L79" s="196"/>
      <c r="M79" s="197" t="e">
        <f>SUM(M11:M78)</f>
        <v>#DIV/0!</v>
      </c>
    </row>
    <row r="81" spans="1:17" x14ac:dyDescent="0.2">
      <c r="A81" s="8" t="s">
        <v>44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198" t="e">
        <f>M79*Budgetark!J6</f>
        <v>#DIV/0!</v>
      </c>
    </row>
    <row r="82" spans="1:17" x14ac:dyDescent="0.2">
      <c r="A82" s="199" t="s">
        <v>45</v>
      </c>
      <c r="B82" s="199"/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200" t="e">
        <f>M81*(1+IF(F8=11,Forudsætninger!F93,(VLOOKUP(YEAR(C6),Tabel1[],2,FALSE))/100))</f>
        <v>#DIV/0!</v>
      </c>
      <c r="P82" s="331"/>
      <c r="Q82" s="332"/>
    </row>
    <row r="83" spans="1:17" x14ac:dyDescent="0.2">
      <c r="A83" s="8" t="s">
        <v>62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201" t="e">
        <f>M81/(Budgetark!J6/(Budgetark!J7/12))</f>
        <v>#DIV/0!</v>
      </c>
    </row>
    <row r="84" spans="1:17" x14ac:dyDescent="0.2">
      <c r="A84" s="199" t="s">
        <v>63</v>
      </c>
      <c r="B84" s="199"/>
      <c r="C84" s="199"/>
      <c r="D84" s="199"/>
      <c r="E84" s="199"/>
      <c r="F84" s="199"/>
      <c r="G84" s="199"/>
      <c r="H84" s="199"/>
      <c r="I84" s="199"/>
      <c r="J84" s="199"/>
      <c r="K84" s="199"/>
      <c r="L84" s="199"/>
      <c r="M84" s="200" t="e">
        <f>M82/(Budgetark!J6/(Budgetark!J7/12))</f>
        <v>#DIV/0!</v>
      </c>
      <c r="N84" s="141"/>
    </row>
    <row r="85" spans="1:17" x14ac:dyDescent="0.2">
      <c r="A85" s="160" t="s">
        <v>48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202" t="e">
        <f>M81/(Budgetark!J16-Budgetark!J15)</f>
        <v>#DIV/0!</v>
      </c>
      <c r="N85" s="141"/>
    </row>
    <row r="86" spans="1:17" x14ac:dyDescent="0.2">
      <c r="A86" s="199" t="s">
        <v>65</v>
      </c>
      <c r="B86" s="203"/>
      <c r="C86" s="203"/>
      <c r="D86" s="203"/>
      <c r="E86" s="203"/>
      <c r="F86" s="203"/>
      <c r="G86" s="203"/>
      <c r="H86" s="203"/>
      <c r="I86" s="204"/>
      <c r="J86" s="203"/>
      <c r="K86" s="203"/>
      <c r="L86" s="203"/>
      <c r="M86" s="353" t="e">
        <f>M85*(1+IF(F8=11,Forudsætninger!F93,VLOOKUP(YEAR(C6),Tabel1[],2,FALSE)/100))</f>
        <v>#DIV/0!</v>
      </c>
    </row>
    <row r="87" spans="1:17" x14ac:dyDescent="0.2">
      <c r="A87" s="160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205"/>
      <c r="N87" s="141"/>
    </row>
    <row r="88" spans="1:17" x14ac:dyDescent="0.2">
      <c r="A88" s="160" t="s">
        <v>274</v>
      </c>
      <c r="B88" s="8"/>
      <c r="C88" s="8"/>
      <c r="D88" s="8"/>
      <c r="E88" s="206">
        <f>Administration!D9</f>
        <v>0</v>
      </c>
      <c r="F88" s="8"/>
      <c r="G88" s="8"/>
      <c r="H88" s="8"/>
      <c r="I88" s="8"/>
      <c r="J88" s="8"/>
      <c r="K88" s="8"/>
      <c r="L88" s="8"/>
      <c r="M88" s="205" t="e">
        <f>+M82*E88</f>
        <v>#DIV/0!</v>
      </c>
      <c r="N88" s="141"/>
    </row>
    <row r="89" spans="1:17" x14ac:dyDescent="0.2">
      <c r="A89" s="199" t="s">
        <v>152</v>
      </c>
      <c r="B89" s="203"/>
      <c r="C89" s="203"/>
      <c r="D89" s="203"/>
      <c r="E89" s="203"/>
      <c r="F89" s="203"/>
      <c r="G89" s="203"/>
      <c r="H89" s="203"/>
      <c r="I89" s="204"/>
      <c r="J89" s="203"/>
      <c r="K89" s="203"/>
      <c r="L89" s="203"/>
      <c r="M89" s="207" t="e">
        <f>+M88/(Budgetark!J6/(Budgetark!J7/12))</f>
        <v>#DIV/0!</v>
      </c>
    </row>
    <row r="90" spans="1:17" x14ac:dyDescent="0.2">
      <c r="A90" s="160"/>
      <c r="I90" s="141"/>
      <c r="M90" s="208"/>
    </row>
    <row r="91" spans="1:17" ht="21.75" x14ac:dyDescent="0.2">
      <c r="A91" s="3" t="s">
        <v>153</v>
      </c>
      <c r="D91" s="310" t="s">
        <v>432</v>
      </c>
      <c r="F91" s="310"/>
      <c r="G91" s="123" t="s">
        <v>84</v>
      </c>
    </row>
    <row r="92" spans="1:17" x14ac:dyDescent="0.2">
      <c r="A92" s="152" t="s">
        <v>111</v>
      </c>
      <c r="B92" s="153"/>
      <c r="C92" s="154"/>
      <c r="D92" s="231" t="s">
        <v>294</v>
      </c>
      <c r="E92" s="86">
        <f>F46*Budgetark!J6+($E$51*$F$51+$E$53*$F$53+$E$96*$F$96)*Budgetark!J6/Budgetark!J7</f>
        <v>0</v>
      </c>
      <c r="F92" s="194"/>
      <c r="G92" s="194">
        <f>+Forudsætninger!E97</f>
        <v>0.79487179487179482</v>
      </c>
      <c r="H92" s="123"/>
      <c r="I92" s="123"/>
      <c r="J92" s="138"/>
      <c r="K92" s="157" t="s">
        <v>86</v>
      </c>
      <c r="L92" s="147"/>
      <c r="M92" s="89">
        <f>IF(D92="Nej",0,E92*G92)</f>
        <v>0</v>
      </c>
    </row>
    <row r="93" spans="1:17" x14ac:dyDescent="0.2">
      <c r="A93" s="159"/>
      <c r="B93" s="160"/>
      <c r="C93" s="123"/>
      <c r="D93" s="161"/>
      <c r="E93" s="123"/>
      <c r="F93" s="161"/>
      <c r="G93" s="123" t="str">
        <f>+IF(Forudsætninger!$D$111=0,"kr/time","kr/år")</f>
        <v>kr/time</v>
      </c>
      <c r="H93" s="123"/>
      <c r="I93" s="123"/>
      <c r="J93" s="123"/>
      <c r="K93" s="123"/>
      <c r="L93" s="123"/>
      <c r="M93" s="12"/>
    </row>
    <row r="94" spans="1:17" x14ac:dyDescent="0.2">
      <c r="A94" s="187" t="s">
        <v>85</v>
      </c>
      <c r="B94" s="190"/>
      <c r="C94" s="191"/>
      <c r="D94" s="231" t="s">
        <v>294</v>
      </c>
      <c r="E94" s="86">
        <f>IF(Forudsætninger!E111=0,1,E92)</f>
        <v>1</v>
      </c>
      <c r="F94" s="194"/>
      <c r="G94" s="244">
        <f>+IF(Forudsætninger!D111=0,Forudsætninger!E111,Forudsætninger!D111)</f>
        <v>0</v>
      </c>
      <c r="H94" s="192"/>
      <c r="I94" s="192"/>
      <c r="J94" s="192"/>
      <c r="K94" s="157" t="s">
        <v>86</v>
      </c>
      <c r="L94" s="193"/>
      <c r="M94" s="89">
        <f>IF(D94="Nej",0,E94*G94)</f>
        <v>0</v>
      </c>
    </row>
    <row r="95" spans="1:17" x14ac:dyDescent="0.2">
      <c r="A95" s="159"/>
      <c r="B95" s="160"/>
      <c r="C95" s="123"/>
      <c r="D95" s="123"/>
      <c r="E95" s="123" t="s">
        <v>32</v>
      </c>
      <c r="F95" s="161" t="s">
        <v>33</v>
      </c>
      <c r="G95" s="123"/>
      <c r="H95" s="123"/>
      <c r="I95" s="123"/>
      <c r="J95" s="123"/>
      <c r="K95" s="123"/>
      <c r="L95" s="123"/>
      <c r="M95" s="12"/>
    </row>
    <row r="96" spans="1:17" x14ac:dyDescent="0.2">
      <c r="A96" s="187" t="s">
        <v>242</v>
      </c>
      <c r="B96" s="190"/>
      <c r="C96" s="191"/>
      <c r="D96" s="154"/>
      <c r="E96" s="86">
        <f>+E51</f>
        <v>0</v>
      </c>
      <c r="F96" s="231">
        <v>0</v>
      </c>
      <c r="G96" s="165">
        <f>+G8*(1+Forudsætninger!B48)+G8*Forudsætninger!B52+G69+SUM(Forudsætninger!F81:F84)/Forudsætninger!F86</f>
        <v>170.67434465452891</v>
      </c>
      <c r="H96" s="192"/>
      <c r="I96" s="192"/>
      <c r="J96" s="192"/>
      <c r="K96" s="157" t="s">
        <v>86</v>
      </c>
      <c r="L96" s="193"/>
      <c r="M96" s="89">
        <f>+E96*F96*G96</f>
        <v>0</v>
      </c>
    </row>
    <row r="97" spans="1:20" x14ac:dyDescent="0.2">
      <c r="A97" s="304"/>
      <c r="B97" s="305"/>
      <c r="C97" s="123"/>
      <c r="D97" s="123"/>
      <c r="E97" s="138" t="s">
        <v>309</v>
      </c>
      <c r="F97" s="188"/>
      <c r="G97" s="188" t="s">
        <v>32</v>
      </c>
      <c r="H97" s="123"/>
      <c r="I97" s="123"/>
      <c r="J97" s="123"/>
      <c r="K97" s="123"/>
      <c r="L97" s="123"/>
      <c r="M97" s="306"/>
    </row>
    <row r="98" spans="1:20" ht="26.25" customHeight="1" x14ac:dyDescent="0.2">
      <c r="A98" s="393" t="s">
        <v>315</v>
      </c>
      <c r="B98" s="394"/>
      <c r="C98" s="395"/>
      <c r="D98" s="307" t="s">
        <v>294</v>
      </c>
      <c r="E98" s="86">
        <f>+Administration!E55</f>
        <v>2039.16</v>
      </c>
      <c r="F98" s="307" t="s">
        <v>294</v>
      </c>
      <c r="G98" s="122">
        <f>IF(F98="Årlige ansatte",Administration!F27,E51)</f>
        <v>0</v>
      </c>
      <c r="H98" s="192"/>
      <c r="I98" s="192"/>
      <c r="J98" s="192"/>
      <c r="K98" s="157" t="s">
        <v>86</v>
      </c>
      <c r="L98" s="193"/>
      <c r="M98" s="89">
        <f>IF(D98="Overhead",+E98*G98*Budgetark!G6/Budgetark!G7,0)</f>
        <v>0</v>
      </c>
    </row>
    <row r="99" spans="1:20" ht="13.5" thickBot="1" x14ac:dyDescent="0.25">
      <c r="A99" s="159"/>
      <c r="B99" s="160"/>
      <c r="C99" s="123"/>
      <c r="D99" s="123"/>
      <c r="E99" s="123"/>
      <c r="F99" s="161"/>
      <c r="G99" s="123"/>
      <c r="H99" s="123"/>
      <c r="I99" s="123"/>
      <c r="J99" s="123"/>
      <c r="K99" s="123"/>
      <c r="L99" s="123"/>
      <c r="M99" s="12"/>
    </row>
    <row r="100" spans="1:20" ht="13.5" thickBot="1" x14ac:dyDescent="0.25">
      <c r="A100" s="195" t="s">
        <v>154</v>
      </c>
      <c r="B100" s="196"/>
      <c r="C100" s="196"/>
      <c r="D100" s="196"/>
      <c r="E100" s="196"/>
      <c r="F100" s="196"/>
      <c r="G100" s="196"/>
      <c r="H100" s="196"/>
      <c r="I100" s="196"/>
      <c r="J100" s="196"/>
      <c r="K100" s="196"/>
      <c r="L100" s="196"/>
      <c r="M100" s="197">
        <f>+SUM(M92:M98)</f>
        <v>0</v>
      </c>
    </row>
    <row r="101" spans="1:20" x14ac:dyDescent="0.2">
      <c r="A101" s="159"/>
      <c r="B101" s="160"/>
      <c r="C101" s="123"/>
      <c r="D101" s="123"/>
      <c r="E101" s="123"/>
      <c r="F101" s="161"/>
      <c r="G101" s="123"/>
      <c r="H101" s="123"/>
      <c r="I101" s="123"/>
      <c r="J101" s="123"/>
      <c r="K101" s="123"/>
      <c r="L101" s="123"/>
      <c r="M101" s="8"/>
      <c r="N101" s="150"/>
    </row>
    <row r="102" spans="1:20" x14ac:dyDescent="0.2">
      <c r="A102" s="160" t="s">
        <v>155</v>
      </c>
      <c r="B102" s="160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210" t="e">
        <f>+(M82+M100-M98)/(Budgetark!J6*7/(Budgetark!J7*7/12))</f>
        <v>#DIV/0!</v>
      </c>
      <c r="N102" s="112"/>
      <c r="O102" s="112"/>
      <c r="P102" s="112"/>
    </row>
    <row r="103" spans="1:20" s="213" customFormat="1" x14ac:dyDescent="0.2">
      <c r="A103" s="211" t="s">
        <v>156</v>
      </c>
      <c r="B103" s="211"/>
      <c r="C103" s="211"/>
      <c r="D103" s="211"/>
      <c r="E103" s="211"/>
      <c r="F103" s="211"/>
      <c r="G103" s="211"/>
      <c r="H103" s="211"/>
      <c r="I103" s="211"/>
      <c r="J103" s="211"/>
      <c r="K103" s="211"/>
      <c r="L103" s="211"/>
      <c r="M103" s="212" t="e">
        <f>+M89+M98/(Budgetark!J6/(Budgetark!J7/12))</f>
        <v>#DIV/0!</v>
      </c>
      <c r="N103" s="110"/>
      <c r="O103" s="110"/>
      <c r="P103" s="110"/>
      <c r="Q103" s="110"/>
      <c r="R103" s="110"/>
      <c r="S103" s="110"/>
      <c r="T103" s="110"/>
    </row>
    <row r="104" spans="1:20" x14ac:dyDescent="0.2">
      <c r="A104" s="159"/>
      <c r="B104" s="160"/>
      <c r="C104" s="123"/>
      <c r="D104" s="123"/>
      <c r="E104" s="123"/>
      <c r="F104" s="161"/>
      <c r="G104" s="123"/>
      <c r="H104" s="123"/>
      <c r="I104" s="123"/>
      <c r="J104" s="123"/>
      <c r="K104" s="123"/>
      <c r="L104" s="123"/>
      <c r="M104" s="8"/>
    </row>
    <row r="105" spans="1:20" x14ac:dyDescent="0.2">
      <c r="A105" s="3" t="s">
        <v>83</v>
      </c>
      <c r="G105" s="123"/>
    </row>
    <row r="106" spans="1:20" ht="13.5" customHeight="1" x14ac:dyDescent="0.2">
      <c r="A106" s="159"/>
      <c r="B106" s="160"/>
      <c r="C106" s="123"/>
      <c r="D106" s="123"/>
      <c r="E106" s="123" t="s">
        <v>96</v>
      </c>
      <c r="F106" s="161"/>
      <c r="G106" s="123"/>
      <c r="H106" s="123"/>
      <c r="I106" s="123"/>
      <c r="J106" s="123"/>
      <c r="K106" s="123"/>
      <c r="L106" s="123"/>
      <c r="M106" s="8"/>
      <c r="N106" s="150"/>
    </row>
    <row r="107" spans="1:20" x14ac:dyDescent="0.2">
      <c r="A107" s="187" t="s">
        <v>95</v>
      </c>
      <c r="B107" s="190"/>
      <c r="C107" s="191"/>
      <c r="D107" s="191"/>
      <c r="E107" s="234">
        <v>0</v>
      </c>
      <c r="F107" s="209"/>
      <c r="G107" s="245"/>
      <c r="H107" s="192"/>
      <c r="I107" s="192"/>
      <c r="J107" s="192"/>
      <c r="K107" s="157" t="s">
        <v>86</v>
      </c>
      <c r="L107" s="193"/>
      <c r="M107" s="89" t="e">
        <f>+M82*E107</f>
        <v>#DIV/0!</v>
      </c>
    </row>
    <row r="108" spans="1:20" x14ac:dyDescent="0.2">
      <c r="A108" s="159"/>
      <c r="B108" s="160"/>
      <c r="C108" s="123"/>
      <c r="D108" s="123"/>
      <c r="E108" s="123" t="s">
        <v>237</v>
      </c>
      <c r="F108" s="161"/>
      <c r="G108" s="123"/>
      <c r="H108" s="123"/>
      <c r="I108" s="123"/>
      <c r="J108" s="123"/>
      <c r="K108" s="123"/>
      <c r="L108" s="123"/>
      <c r="M108" s="12"/>
    </row>
    <row r="109" spans="1:20" x14ac:dyDescent="0.2">
      <c r="A109" s="187" t="s">
        <v>100</v>
      </c>
      <c r="B109" s="190"/>
      <c r="C109" s="191"/>
      <c r="D109" s="191"/>
      <c r="E109" s="234">
        <v>0</v>
      </c>
      <c r="F109" s="209"/>
      <c r="G109" s="194"/>
      <c r="H109" s="192"/>
      <c r="I109" s="192"/>
      <c r="J109" s="192"/>
      <c r="K109" s="157" t="s">
        <v>86</v>
      </c>
      <c r="L109" s="193"/>
      <c r="M109" s="89" t="e">
        <f>+M82*E109</f>
        <v>#DIV/0!</v>
      </c>
    </row>
    <row r="110" spans="1:20" x14ac:dyDescent="0.2">
      <c r="A110" s="159"/>
      <c r="B110" s="160"/>
      <c r="C110" s="123"/>
      <c r="D110" s="123"/>
      <c r="E110" s="138" t="s">
        <v>124</v>
      </c>
      <c r="F110" s="161"/>
      <c r="G110" s="123"/>
      <c r="H110" s="123"/>
      <c r="I110" s="123"/>
      <c r="J110" s="123"/>
      <c r="K110" s="123"/>
      <c r="L110" s="123"/>
      <c r="M110" s="12"/>
    </row>
    <row r="111" spans="1:20" x14ac:dyDescent="0.2">
      <c r="A111" s="187" t="s">
        <v>238</v>
      </c>
      <c r="B111" s="190"/>
      <c r="C111" s="191"/>
      <c r="D111" s="154"/>
      <c r="E111" s="86">
        <f>+Forudsætninger!D106</f>
        <v>0</v>
      </c>
      <c r="F111" s="231" t="s">
        <v>294</v>
      </c>
      <c r="G111" s="194"/>
      <c r="H111" s="192"/>
      <c r="I111" s="192"/>
      <c r="J111" s="192"/>
      <c r="K111" s="157" t="s">
        <v>86</v>
      </c>
      <c r="L111" s="193"/>
      <c r="M111" s="89">
        <f>+IF(F111="Ja",E111,0)</f>
        <v>0</v>
      </c>
    </row>
    <row r="112" spans="1:20" x14ac:dyDescent="0.2">
      <c r="A112" s="159"/>
      <c r="B112" s="160"/>
      <c r="C112" s="123"/>
      <c r="D112" s="123"/>
      <c r="E112" s="138" t="s">
        <v>125</v>
      </c>
      <c r="F112" s="161" t="s">
        <v>126</v>
      </c>
      <c r="G112" s="123"/>
      <c r="H112" s="123"/>
      <c r="I112" s="123"/>
      <c r="J112" s="123"/>
      <c r="K112" s="123"/>
      <c r="L112" s="123"/>
      <c r="M112" s="12"/>
    </row>
    <row r="113" spans="1:16" x14ac:dyDescent="0.2">
      <c r="A113" s="187" t="s">
        <v>127</v>
      </c>
      <c r="B113" s="190"/>
      <c r="C113" s="191"/>
      <c r="D113" s="154"/>
      <c r="E113" s="86">
        <f>+Forudsætninger!D107</f>
        <v>0</v>
      </c>
      <c r="F113" s="231">
        <v>0</v>
      </c>
      <c r="G113" s="194"/>
      <c r="H113" s="192"/>
      <c r="I113" s="192"/>
      <c r="J113" s="192"/>
      <c r="K113" s="157" t="s">
        <v>86</v>
      </c>
      <c r="L113" s="193"/>
      <c r="M113" s="89">
        <f>+IF($F$111="Ja",E113*F113,0)</f>
        <v>0</v>
      </c>
    </row>
    <row r="114" spans="1:16" x14ac:dyDescent="0.2">
      <c r="A114" s="159"/>
      <c r="B114" s="160"/>
      <c r="C114" s="123"/>
      <c r="D114" s="123"/>
      <c r="E114" s="138" t="s">
        <v>121</v>
      </c>
      <c r="F114" s="161" t="s">
        <v>122</v>
      </c>
      <c r="G114" s="123"/>
      <c r="H114" s="123"/>
      <c r="I114" s="123"/>
      <c r="J114" s="123"/>
      <c r="K114" s="123"/>
      <c r="L114" s="123"/>
      <c r="M114" s="12"/>
    </row>
    <row r="115" spans="1:16" x14ac:dyDescent="0.2">
      <c r="A115" s="187" t="s">
        <v>123</v>
      </c>
      <c r="B115" s="190"/>
      <c r="C115" s="191"/>
      <c r="D115" s="154"/>
      <c r="E115" s="86">
        <f>+Forudsætninger!D108</f>
        <v>3.51</v>
      </c>
      <c r="F115" s="231">
        <v>0</v>
      </c>
      <c r="G115" s="194"/>
      <c r="H115" s="192"/>
      <c r="I115" s="192"/>
      <c r="J115" s="192"/>
      <c r="K115" s="157" t="s">
        <v>86</v>
      </c>
      <c r="L115" s="193"/>
      <c r="M115" s="89">
        <f>+IF($F$111="Ja",E115*F115,0)</f>
        <v>0</v>
      </c>
    </row>
    <row r="116" spans="1:16" ht="13.5" thickBot="1" x14ac:dyDescent="0.25">
      <c r="A116" s="43"/>
      <c r="B116" s="8"/>
      <c r="C116" s="138"/>
      <c r="D116" s="138"/>
      <c r="E116" s="138"/>
      <c r="F116" s="138"/>
      <c r="G116" s="138"/>
      <c r="H116" s="138"/>
      <c r="I116" s="138"/>
      <c r="J116" s="138"/>
      <c r="K116" s="138"/>
      <c r="L116" s="138"/>
      <c r="M116" s="12"/>
    </row>
    <row r="117" spans="1:16" ht="13.5" thickBot="1" x14ac:dyDescent="0.25">
      <c r="A117" s="195" t="s">
        <v>157</v>
      </c>
      <c r="B117" s="196"/>
      <c r="C117" s="196"/>
      <c r="D117" s="196"/>
      <c r="E117" s="196"/>
      <c r="F117" s="196"/>
      <c r="G117" s="196"/>
      <c r="H117" s="196"/>
      <c r="I117" s="196"/>
      <c r="J117" s="196"/>
      <c r="K117" s="196"/>
      <c r="L117" s="196"/>
      <c r="M117" s="197" t="e">
        <f>SUM(M107:O116)</f>
        <v>#DIV/0!</v>
      </c>
    </row>
    <row r="118" spans="1:16" x14ac:dyDescent="0.2">
      <c r="A118" s="117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246"/>
    </row>
    <row r="119" spans="1:16" x14ac:dyDescent="0.2">
      <c r="A119" s="211" t="s">
        <v>285</v>
      </c>
      <c r="B119" s="199"/>
      <c r="C119" s="199"/>
      <c r="D119" s="199"/>
      <c r="E119" s="199"/>
      <c r="F119" s="199"/>
      <c r="G119" s="199"/>
      <c r="H119" s="199"/>
      <c r="I119" s="199"/>
      <c r="J119" s="199"/>
      <c r="K119" s="199"/>
      <c r="L119" s="199"/>
      <c r="M119" s="200" t="e">
        <f>+(M82+M117+M100+M88)</f>
        <v>#DIV/0!</v>
      </c>
      <c r="N119" s="112"/>
      <c r="O119" s="112"/>
      <c r="P119" s="112"/>
    </row>
    <row r="120" spans="1:16" x14ac:dyDescent="0.2">
      <c r="A120" s="160"/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208"/>
    </row>
    <row r="121" spans="1:16" x14ac:dyDescent="0.2">
      <c r="A121" s="3" t="s">
        <v>205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6" x14ac:dyDescent="0.2">
      <c r="A122" s="2" t="s">
        <v>72</v>
      </c>
      <c r="B122" s="2" t="s">
        <v>73</v>
      </c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6" x14ac:dyDescent="0.2">
      <c r="A123" s="2" t="s">
        <v>74</v>
      </c>
      <c r="B123" s="2" t="s">
        <v>75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112"/>
      <c r="O123" s="112"/>
      <c r="P123" s="112"/>
    </row>
    <row r="124" spans="1:16" s="112" customFormat="1" x14ac:dyDescent="0.2">
      <c r="A124" s="3" t="s">
        <v>76</v>
      </c>
      <c r="B124" s="222" t="s">
        <v>77</v>
      </c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6" s="112" customFormat="1" x14ac:dyDescent="0.2">
      <c r="A125" s="2"/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224"/>
      <c r="N125" s="107"/>
      <c r="O125" s="107"/>
      <c r="P125" s="107"/>
    </row>
    <row r="126" spans="1:16" x14ac:dyDescent="0.2">
      <c r="A126" s="3" t="s">
        <v>210</v>
      </c>
      <c r="F126" s="225"/>
      <c r="I126" s="141"/>
      <c r="J126" s="141"/>
      <c r="M126" s="224"/>
    </row>
    <row r="127" spans="1:16" ht="24" customHeight="1" x14ac:dyDescent="0.2">
      <c r="A127" s="388" t="s">
        <v>166</v>
      </c>
      <c r="B127" s="388"/>
      <c r="C127" s="388"/>
      <c r="D127" s="388"/>
      <c r="E127" s="388"/>
      <c r="F127" s="388"/>
      <c r="G127" s="388"/>
      <c r="H127" s="388"/>
      <c r="I127" s="388"/>
      <c r="J127" s="388"/>
      <c r="K127" s="388"/>
      <c r="L127" s="388"/>
      <c r="M127" s="388"/>
    </row>
    <row r="128" spans="1:16" x14ac:dyDescent="0.2">
      <c r="A128" s="2"/>
      <c r="I128" s="112"/>
    </row>
    <row r="129" spans="1:13" x14ac:dyDescent="0.2">
      <c r="A129" s="3" t="s">
        <v>243</v>
      </c>
      <c r="I129" s="112"/>
    </row>
    <row r="130" spans="1:13" ht="24.75" customHeight="1" x14ac:dyDescent="0.2">
      <c r="A130" s="388" t="s">
        <v>244</v>
      </c>
      <c r="B130" s="388"/>
      <c r="C130" s="388"/>
      <c r="D130" s="388"/>
      <c r="E130" s="388"/>
      <c r="F130" s="388"/>
      <c r="G130" s="388"/>
      <c r="H130" s="388"/>
      <c r="I130" s="388"/>
      <c r="J130" s="388"/>
      <c r="K130" s="388"/>
      <c r="L130" s="388"/>
      <c r="M130" s="388"/>
    </row>
    <row r="131" spans="1:13" ht="24" customHeight="1" x14ac:dyDescent="0.2">
      <c r="A131" s="388" t="s">
        <v>245</v>
      </c>
      <c r="B131" s="388"/>
      <c r="C131" s="388"/>
      <c r="D131" s="388"/>
      <c r="E131" s="388"/>
      <c r="F131" s="388"/>
      <c r="G131" s="388"/>
      <c r="H131" s="388"/>
      <c r="I131" s="388"/>
      <c r="J131" s="388"/>
      <c r="K131" s="388"/>
      <c r="L131" s="388"/>
      <c r="M131" s="388"/>
    </row>
    <row r="133" spans="1:13" x14ac:dyDescent="0.2">
      <c r="A133" s="3" t="s">
        <v>313</v>
      </c>
      <c r="F133" s="225"/>
      <c r="I133" s="223"/>
    </row>
    <row r="134" spans="1:13" ht="24.75" customHeight="1" x14ac:dyDescent="0.2">
      <c r="A134" s="388" t="s">
        <v>312</v>
      </c>
      <c r="B134" s="388"/>
      <c r="C134" s="388"/>
      <c r="D134" s="388"/>
      <c r="E134" s="388"/>
      <c r="F134" s="388"/>
      <c r="G134" s="388"/>
      <c r="H134" s="388"/>
      <c r="I134" s="388"/>
      <c r="J134" s="388"/>
      <c r="K134" s="388"/>
      <c r="L134" s="388"/>
      <c r="M134" s="388"/>
    </row>
  </sheetData>
  <sheetProtection algorithmName="SHA-512" hashValue="fc7+0LBz4D0mt5BTUo/1mAr1rqgDowVXHDQE7lJ29pHMtkKwv/VaoSzwCjTK6EspxfexeGx4gmkZGydgFu1TFQ==" saltValue="gUzz55bbYyA/uH3XwgEUzw==" spinCount="100000" sheet="1" objects="1" scenarios="1"/>
  <mergeCells count="9">
    <mergeCell ref="N9:O9"/>
    <mergeCell ref="A130:M130"/>
    <mergeCell ref="A98:C98"/>
    <mergeCell ref="A134:M134"/>
    <mergeCell ref="A131:M131"/>
    <mergeCell ref="I2:M2"/>
    <mergeCell ref="A127:M127"/>
    <mergeCell ref="A8:E8"/>
    <mergeCell ref="B4:C4"/>
  </mergeCells>
  <dataValidations count="7">
    <dataValidation type="list" allowBlank="1" showInputMessage="1" showErrorMessage="1" sqref="D61" xr:uid="{00000000-0002-0000-0300-000000000000}">
      <formula1>"Forhøjet pensionssats,Almindelig pensionsats"</formula1>
    </dataValidation>
    <dataValidation type="list" allowBlank="1" showInputMessage="1" showErrorMessage="1" sqref="D59 F111 D94 D92" xr:uid="{00000000-0002-0000-0300-000001000000}">
      <formula1>"Vælg,Ja,Nej"</formula1>
    </dataValidation>
    <dataValidation type="list" allowBlank="1" showInputMessage="1" showErrorMessage="1" sqref="D98" xr:uid="{00000000-0002-0000-0300-000002000000}">
      <formula1>"Vælg, Beregner, Overhead"</formula1>
    </dataValidation>
    <dataValidation allowBlank="1" showInputMessage="1" showErrorMessage="1" promptTitle="Til dato" prompt="Indtast slutdato i perioden, dvs. sidste dag i perioden._x000a_dd-mm-åååå_x000a_Eks. ved årsbudget: hvis startdato er 01-04-2019 skal slutdato være 31-03-2020_x000a_" sqref="E6" xr:uid="{78E4F44F-5CF6-4740-8C8D-FB14F89D44F2}"/>
    <dataValidation type="list" allowBlank="1" showInputMessage="1" showErrorMessage="1" sqref="F8" xr:uid="{00000000-0002-0000-0300-000004000000}">
      <formula1>Løntrin</formula1>
    </dataValidation>
    <dataValidation type="list" allowBlank="1" showInputMessage="1" showErrorMessage="1" sqref="B4:C4" xr:uid="{00000000-0002-0000-0300-000005000000}">
      <formula1>Kommuneliste</formula1>
    </dataValidation>
    <dataValidation type="list" allowBlank="1" showInputMessage="1" showErrorMessage="1" promptTitle="Vælg type antal ansatte" prompt="Vælg om der skal beregnes med de faktiske hjælpere i ordningen indsat ved &quot;Løse timer&quot; eller der skal benyttes antal forventede årlige hjælpere ud fra gennemsnitsmodellen på faneblad &quot;Administration&quot;, hvor i afløsere samt udskiftning er medtaget. " sqref="F98" xr:uid="{00000000-0002-0000-0300-000006000000}">
      <formula1>"Vælg, Faktiske ansatte, Årlige ansatte"</formula1>
    </dataValidation>
  </dataValidations>
  <pageMargins left="0.7" right="0.7" top="0.75" bottom="0.75" header="0.3" footer="0.3"/>
  <pageSetup paperSize="8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42"/>
  <sheetViews>
    <sheetView zoomScaleNormal="100" workbookViewId="0"/>
  </sheetViews>
  <sheetFormatPr defaultColWidth="9.33203125" defaultRowHeight="12.75" outlineLevelCol="1" x14ac:dyDescent="0.2"/>
  <cols>
    <col min="1" max="1" width="55.33203125" style="248" customWidth="1"/>
    <col min="2" max="3" width="17.6640625" style="248" customWidth="1"/>
    <col min="4" max="4" width="56" style="249" customWidth="1"/>
    <col min="5" max="5" width="4" style="250" customWidth="1"/>
    <col min="6" max="6" width="17.83203125" style="107" customWidth="1" outlineLevel="1"/>
    <col min="7" max="7" width="13.5" style="107" customWidth="1" outlineLevel="1"/>
    <col min="8" max="8" width="3" style="113" customWidth="1"/>
    <col min="9" max="9" width="18.1640625" style="107" customWidth="1" outlineLevel="1"/>
    <col min="10" max="10" width="13.5" style="107" customWidth="1" outlineLevel="1"/>
    <col min="11" max="11" width="3.33203125" style="248" customWidth="1"/>
    <col min="12" max="16384" width="9.33203125" style="248"/>
  </cols>
  <sheetData>
    <row r="1" spans="1:10" ht="19.5" x14ac:dyDescent="0.25">
      <c r="A1" s="1" t="s">
        <v>246</v>
      </c>
    </row>
    <row r="3" spans="1:10" x14ac:dyDescent="0.2">
      <c r="A3" s="250" t="s">
        <v>185</v>
      </c>
      <c r="B3" s="251">
        <f>+'BPA-HHOK'!F4</f>
        <v>0</v>
      </c>
      <c r="C3" s="252"/>
      <c r="E3" s="239"/>
      <c r="F3" s="402" t="s">
        <v>304</v>
      </c>
      <c r="G3" s="401"/>
      <c r="I3" s="401" t="s">
        <v>247</v>
      </c>
      <c r="J3" s="401"/>
    </row>
    <row r="4" spans="1:10" x14ac:dyDescent="0.2">
      <c r="A4" s="250" t="s">
        <v>290</v>
      </c>
      <c r="B4" s="250"/>
      <c r="F4" s="400" t="s">
        <v>168</v>
      </c>
      <c r="G4" s="400"/>
      <c r="H4" s="253"/>
      <c r="I4" s="400" t="s">
        <v>168</v>
      </c>
      <c r="J4" s="400"/>
    </row>
    <row r="5" spans="1:10" x14ac:dyDescent="0.2">
      <c r="B5" s="301" t="s">
        <v>298</v>
      </c>
      <c r="C5" s="254" t="s">
        <v>248</v>
      </c>
      <c r="D5" s="255" t="s">
        <v>103</v>
      </c>
    </row>
    <row r="6" spans="1:10" ht="25.5" x14ac:dyDescent="0.2">
      <c r="A6" s="256" t="s">
        <v>104</v>
      </c>
      <c r="B6" s="257">
        <f>+('BPA-HHOK'!F46-'BPA-HHOK'!E46/4)*'BPA-HHOK'!G8*G6</f>
        <v>0</v>
      </c>
      <c r="C6" s="257">
        <f>+('SOSU-OK'!F46-'SOSU-OK'!E46/4)*'SOSU-OK'!G8*J6</f>
        <v>0</v>
      </c>
      <c r="D6" s="258" t="s">
        <v>181</v>
      </c>
      <c r="E6" s="259"/>
      <c r="F6" s="260" t="s">
        <v>286</v>
      </c>
      <c r="G6" s="261">
        <f>+('BPA-HHOK'!E6-'BPA-HHOK'!C6+1)/7</f>
        <v>52.142857142857146</v>
      </c>
      <c r="I6" s="260" t="s">
        <v>286</v>
      </c>
      <c r="J6" s="261">
        <f>+('SOSU-OK'!E6-'SOSU-OK'!C6+1)/7</f>
        <v>52.142857142857146</v>
      </c>
    </row>
    <row r="7" spans="1:10" ht="38.25" x14ac:dyDescent="0.2">
      <c r="A7" s="256" t="s">
        <v>105</v>
      </c>
      <c r="B7" s="257">
        <f>+'BPA-HHOK'!N46*G6+'BPA-HHOK'!O46</f>
        <v>0</v>
      </c>
      <c r="C7" s="257">
        <f>+'SOSU-OK'!N46*J6+'SOSU-OK'!O46</f>
        <v>0</v>
      </c>
      <c r="D7" s="258" t="s">
        <v>118</v>
      </c>
      <c r="E7" s="259"/>
      <c r="F7" s="260" t="s">
        <v>287</v>
      </c>
      <c r="G7" s="261">
        <f>+(DATE(YEAR('BPA-HHOK'!C6)+1,MONTH('BPA-HHOK'!C6),DAY('BPA-HHOK'!C6))-'BPA-HHOK'!C6)/7</f>
        <v>52.142857142857146</v>
      </c>
      <c r="I7" s="260" t="s">
        <v>287</v>
      </c>
      <c r="J7" s="261">
        <f>+(DATE(YEAR('SOSU-OK'!C6)+1,MONTH('SOSU-OK'!C6),DAY('SOSU-OK'!C6))-'SOSU-OK'!C6)/7</f>
        <v>52.142857142857146</v>
      </c>
    </row>
    <row r="8" spans="1:10" x14ac:dyDescent="0.2">
      <c r="A8" s="256" t="s">
        <v>115</v>
      </c>
      <c r="B8" s="257">
        <f>+('BPA-HHOK'!M51)*G6</f>
        <v>0</v>
      </c>
      <c r="C8" s="257">
        <f>+SUM('SOSU-OK'!M51)*J6</f>
        <v>0</v>
      </c>
      <c r="D8" s="258" t="s">
        <v>116</v>
      </c>
      <c r="E8" s="259"/>
      <c r="F8" s="262"/>
      <c r="G8" s="263"/>
      <c r="I8" s="262"/>
      <c r="J8" s="263"/>
    </row>
    <row r="9" spans="1:10" ht="25.5" x14ac:dyDescent="0.2">
      <c r="A9" s="256" t="s">
        <v>92</v>
      </c>
      <c r="B9" s="257" t="e">
        <f>+'BPA-HHOK'!M53*G6</f>
        <v>#DIV/0!</v>
      </c>
      <c r="C9" s="257" t="e">
        <f>+'SOSU-OK'!M53*J6</f>
        <v>#DIV/0!</v>
      </c>
      <c r="D9" s="258" t="s">
        <v>92</v>
      </c>
      <c r="E9" s="259"/>
      <c r="F9" s="264" t="s">
        <v>169</v>
      </c>
      <c r="G9" s="265" t="s">
        <v>288</v>
      </c>
      <c r="H9" s="266"/>
      <c r="I9" s="264" t="s">
        <v>169</v>
      </c>
      <c r="J9" s="265" t="s">
        <v>288</v>
      </c>
    </row>
    <row r="10" spans="1:10" ht="25.5" x14ac:dyDescent="0.2">
      <c r="A10" s="256" t="s">
        <v>106</v>
      </c>
      <c r="B10" s="257">
        <f>+'BPA-HHOK'!M49*G6</f>
        <v>0</v>
      </c>
      <c r="C10" s="257">
        <f>+'SOSU-OK'!M49*J6</f>
        <v>0</v>
      </c>
      <c r="D10" s="258" t="s">
        <v>305</v>
      </c>
      <c r="E10" s="259"/>
      <c r="F10" s="267" t="s">
        <v>170</v>
      </c>
      <c r="G10" s="261">
        <f>+('BPA-HHOK'!C46+'BPA-HHOK'!E46)*G6</f>
        <v>0</v>
      </c>
      <c r="H10" s="268"/>
      <c r="I10" s="267" t="s">
        <v>170</v>
      </c>
      <c r="J10" s="257">
        <f>+('SOSU-OK'!C46+'SOSU-OK'!E46)*J6</f>
        <v>0</v>
      </c>
    </row>
    <row r="11" spans="1:10" ht="38.25" x14ac:dyDescent="0.2">
      <c r="A11" s="269" t="s">
        <v>107</v>
      </c>
      <c r="B11" s="270" t="e">
        <f>SUM(B6:B10)</f>
        <v>#DIV/0!</v>
      </c>
      <c r="C11" s="270" t="e">
        <f>SUM(C6:C10)</f>
        <v>#DIV/0!</v>
      </c>
      <c r="D11" s="271"/>
      <c r="E11" s="272"/>
      <c r="F11" s="273" t="s">
        <v>171</v>
      </c>
      <c r="G11" s="274">
        <f>+'BPA-HHOK'!E46*G6</f>
        <v>0</v>
      </c>
      <c r="H11" s="275"/>
      <c r="I11" s="273" t="s">
        <v>171</v>
      </c>
      <c r="J11" s="270">
        <f>+'SOSU-OK'!E46*J6</f>
        <v>0</v>
      </c>
    </row>
    <row r="12" spans="1:10" ht="25.5" x14ac:dyDescent="0.2">
      <c r="A12" s="256" t="s">
        <v>108</v>
      </c>
      <c r="B12" s="257" t="e">
        <f>+SUM('BPA-HHOK'!M57:M59)*G6</f>
        <v>#DIV/0!</v>
      </c>
      <c r="C12" s="257" t="e">
        <f>+SUM('SOSU-OK'!M57:M59)*J6</f>
        <v>#DIV/0!</v>
      </c>
      <c r="D12" s="258" t="s">
        <v>119</v>
      </c>
      <c r="E12" s="259"/>
      <c r="F12" s="267" t="s">
        <v>172</v>
      </c>
      <c r="G12" s="261">
        <f>+'BPA-HHOK'!D46</f>
        <v>0</v>
      </c>
      <c r="H12" s="268"/>
      <c r="I12" s="267" t="s">
        <v>172</v>
      </c>
      <c r="J12" s="257">
        <f>+'SOSU-OK'!D46</f>
        <v>0</v>
      </c>
    </row>
    <row r="13" spans="1:10" x14ac:dyDescent="0.2">
      <c r="A13" s="256" t="s">
        <v>280</v>
      </c>
      <c r="B13" s="257">
        <f>('BPA-HHOK'!M67)*G6</f>
        <v>0</v>
      </c>
      <c r="C13" s="257">
        <f>('SOSU-OK'!M67)*J6</f>
        <v>0</v>
      </c>
      <c r="D13" s="258"/>
      <c r="E13" s="259"/>
      <c r="F13" s="267" t="s">
        <v>115</v>
      </c>
      <c r="G13" s="261">
        <f>+'BPA-HHOK'!E51*'BPA-HHOK'!F51*G6/G7</f>
        <v>0</v>
      </c>
      <c r="H13" s="268"/>
      <c r="I13" s="267" t="s">
        <v>115</v>
      </c>
      <c r="J13" s="257">
        <f>+'SOSU-OK'!E51*'SOSU-OK'!F51*J6/J7</f>
        <v>0</v>
      </c>
    </row>
    <row r="14" spans="1:10" x14ac:dyDescent="0.2">
      <c r="A14" s="256" t="s">
        <v>39</v>
      </c>
      <c r="B14" s="257">
        <f>+SUM('BPA-HHOK'!M61:M63)*G6</f>
        <v>0</v>
      </c>
      <c r="C14" s="257">
        <f>+SUM('SOSU-OK'!M61:M63)*J6</f>
        <v>0</v>
      </c>
      <c r="D14" s="258" t="s">
        <v>249</v>
      </c>
      <c r="E14" s="259"/>
      <c r="F14" s="267" t="s">
        <v>92</v>
      </c>
      <c r="G14" s="261">
        <f>+'BPA-HHOK'!E53*'BPA-HHOK'!F53*G6/G7</f>
        <v>0</v>
      </c>
      <c r="H14" s="268"/>
      <c r="I14" s="267" t="s">
        <v>92</v>
      </c>
      <c r="J14" s="257">
        <f>+'SOSU-OK'!E53*'SOSU-OK'!F53*J6/J7</f>
        <v>0</v>
      </c>
    </row>
    <row r="15" spans="1:10" x14ac:dyDescent="0.2">
      <c r="A15" s="256" t="s">
        <v>109</v>
      </c>
      <c r="B15" s="257">
        <f>+'BPA-HHOK'!M65*G6</f>
        <v>0</v>
      </c>
      <c r="C15" s="257">
        <f>+'SOSU-OK'!M65*J6</f>
        <v>0</v>
      </c>
      <c r="D15" s="258" t="s">
        <v>120</v>
      </c>
      <c r="E15" s="259"/>
      <c r="F15" s="267" t="s">
        <v>173</v>
      </c>
      <c r="G15" s="261">
        <f>+'BPA-HHOK'!E96*'BPA-HHOK'!F96*G6/G7</f>
        <v>0</v>
      </c>
      <c r="H15" s="268"/>
      <c r="I15" s="267" t="s">
        <v>173</v>
      </c>
      <c r="J15" s="257">
        <f>+'SOSU-OK'!E96*'SOSU-OK'!F96*J6/J7</f>
        <v>0</v>
      </c>
    </row>
    <row r="16" spans="1:10" ht="25.5" x14ac:dyDescent="0.2">
      <c r="A16" s="256" t="s">
        <v>117</v>
      </c>
      <c r="B16" s="257">
        <f>+'BPA-HHOK'!M77*G6</f>
        <v>0</v>
      </c>
      <c r="C16" s="257">
        <f>+'SOSU-OK'!M77*J6</f>
        <v>0</v>
      </c>
      <c r="D16" s="258"/>
      <c r="E16" s="259"/>
      <c r="F16" s="276" t="s">
        <v>174</v>
      </c>
      <c r="G16" s="277">
        <f>SUM(G10:G15)-G11</f>
        <v>0</v>
      </c>
      <c r="H16" s="278"/>
      <c r="I16" s="276" t="s">
        <v>174</v>
      </c>
      <c r="J16" s="279">
        <f>SUM(J10:J15)-J11</f>
        <v>0</v>
      </c>
    </row>
    <row r="17" spans="1:11" x14ac:dyDescent="0.2">
      <c r="A17" s="256" t="s">
        <v>110</v>
      </c>
      <c r="B17" s="257">
        <f>+'BPA-HHOK'!M69*G6</f>
        <v>0</v>
      </c>
      <c r="C17" s="257">
        <f>+'SOSU-OK'!M69*J6</f>
        <v>0</v>
      </c>
      <c r="D17" s="258" t="s">
        <v>306</v>
      </c>
      <c r="E17" s="259"/>
      <c r="F17" s="280"/>
      <c r="G17" s="281"/>
      <c r="H17" s="281"/>
      <c r="I17" s="280"/>
      <c r="J17" s="281"/>
    </row>
    <row r="18" spans="1:11" x14ac:dyDescent="0.2">
      <c r="A18" s="256" t="s">
        <v>167</v>
      </c>
      <c r="B18" s="257">
        <f>+('BPA-HHOK'!M71+'BPA-HHOK'!M73)*G6</f>
        <v>0</v>
      </c>
      <c r="C18" s="257">
        <f>+('SOSU-OK'!M71+'SOSU-OK'!M73)*J6</f>
        <v>0</v>
      </c>
      <c r="D18" s="258"/>
      <c r="E18" s="259"/>
    </row>
    <row r="19" spans="1:11" x14ac:dyDescent="0.2">
      <c r="A19" s="256" t="s">
        <v>164</v>
      </c>
      <c r="B19" s="257">
        <f>+'BPA-HHOK'!M75*G6</f>
        <v>0</v>
      </c>
      <c r="C19" s="257">
        <f>+'SOSU-OK'!M75*J6</f>
        <v>0</v>
      </c>
      <c r="D19" s="258"/>
      <c r="E19" s="259"/>
    </row>
    <row r="20" spans="1:11" x14ac:dyDescent="0.2">
      <c r="A20" s="282" t="s">
        <v>251</v>
      </c>
      <c r="B20" s="283" t="e">
        <f>SUM(B11:B19)</f>
        <v>#DIV/0!</v>
      </c>
      <c r="C20" s="283" t="e">
        <f>SUM(C11:C19)</f>
        <v>#DIV/0!</v>
      </c>
      <c r="D20" s="284"/>
      <c r="E20" s="285"/>
    </row>
    <row r="21" spans="1:11" x14ac:dyDescent="0.2">
      <c r="A21" s="256" t="s">
        <v>273</v>
      </c>
      <c r="B21" s="257" t="e">
        <f>+'BPA-HHOK'!M82-'BPA-HHOK'!M81</f>
        <v>#DIV/0!</v>
      </c>
      <c r="C21" s="257" t="e">
        <f>+'SOSU-OK'!M82-'SOSU-OK'!M81</f>
        <v>#DIV/0!</v>
      </c>
      <c r="D21" s="258" t="s">
        <v>176</v>
      </c>
      <c r="E21" s="259"/>
    </row>
    <row r="22" spans="1:11" x14ac:dyDescent="0.2">
      <c r="A22" s="286" t="s">
        <v>250</v>
      </c>
      <c r="B22" s="279" t="e">
        <f>SUM(B20:B21)</f>
        <v>#DIV/0!</v>
      </c>
      <c r="C22" s="279" t="e">
        <f>SUM(C20:C21)</f>
        <v>#DIV/0!</v>
      </c>
      <c r="D22" s="287"/>
      <c r="E22" s="288"/>
    </row>
    <row r="23" spans="1:11" x14ac:dyDescent="0.2">
      <c r="A23" s="256" t="s">
        <v>111</v>
      </c>
      <c r="B23" s="257">
        <f>+'BPA-HHOK'!M92</f>
        <v>0</v>
      </c>
      <c r="C23" s="257">
        <f>+'SOSU-OK'!M92</f>
        <v>0</v>
      </c>
      <c r="D23" s="258" t="s">
        <v>114</v>
      </c>
      <c r="E23" s="259"/>
    </row>
    <row r="24" spans="1:11" x14ac:dyDescent="0.2">
      <c r="A24" s="256" t="s">
        <v>85</v>
      </c>
      <c r="B24" s="257">
        <f>+'BPA-HHOK'!M94</f>
        <v>0</v>
      </c>
      <c r="C24" s="257">
        <f>+'SOSU-OK'!M94</f>
        <v>0</v>
      </c>
      <c r="D24" s="258" t="s">
        <v>114</v>
      </c>
      <c r="E24" s="259"/>
    </row>
    <row r="25" spans="1:11" x14ac:dyDescent="0.2">
      <c r="A25" s="256" t="s">
        <v>113</v>
      </c>
      <c r="B25" s="257">
        <f>+'BPA-HHOK'!M96</f>
        <v>0</v>
      </c>
      <c r="C25" s="257">
        <f>+'SOSU-OK'!M96</f>
        <v>0</v>
      </c>
      <c r="D25" s="258" t="s">
        <v>160</v>
      </c>
      <c r="E25" s="259"/>
    </row>
    <row r="26" spans="1:11" s="289" customFormat="1" x14ac:dyDescent="0.2">
      <c r="A26" s="286" t="s">
        <v>158</v>
      </c>
      <c r="B26" s="279" t="e">
        <f>+SUM(B22:B25)</f>
        <v>#DIV/0!</v>
      </c>
      <c r="C26" s="279" t="e">
        <f>+SUM(C22:C25)</f>
        <v>#DIV/0!</v>
      </c>
      <c r="D26" s="287"/>
      <c r="E26" s="288"/>
      <c r="F26" s="107"/>
      <c r="G26" s="107"/>
      <c r="H26" s="113"/>
      <c r="I26" s="107"/>
      <c r="J26" s="107"/>
      <c r="K26" s="248"/>
    </row>
    <row r="27" spans="1:11" x14ac:dyDescent="0.2">
      <c r="A27" s="256" t="s">
        <v>252</v>
      </c>
      <c r="B27" s="257">
        <f>+SUM('BPA-HHOK'!M111:M115)</f>
        <v>0</v>
      </c>
      <c r="C27" s="257">
        <f>+SUM('SOSU-OK'!M111:M115)</f>
        <v>0</v>
      </c>
      <c r="D27" s="258" t="s">
        <v>160</v>
      </c>
      <c r="E27" s="259"/>
    </row>
    <row r="28" spans="1:11" x14ac:dyDescent="0.2">
      <c r="A28" s="256" t="s">
        <v>112</v>
      </c>
      <c r="B28" s="257" t="e">
        <f>+'BPA-HHOK'!M107+'BPA-HHOK'!M109</f>
        <v>#DIV/0!</v>
      </c>
      <c r="C28" s="257" t="e">
        <f>+'SOSU-OK'!M107+'SOSU-OK'!M109</f>
        <v>#DIV/0!</v>
      </c>
      <c r="D28" s="258" t="s">
        <v>253</v>
      </c>
      <c r="E28" s="259"/>
      <c r="K28" s="289"/>
    </row>
    <row r="29" spans="1:11" x14ac:dyDescent="0.2">
      <c r="A29" s="286" t="s">
        <v>159</v>
      </c>
      <c r="B29" s="279" t="e">
        <f>SUM(B26:B28)</f>
        <v>#DIV/0!</v>
      </c>
      <c r="C29" s="279" t="e">
        <f>SUM(C26:C28)</f>
        <v>#DIV/0!</v>
      </c>
      <c r="D29" s="287"/>
      <c r="E29" s="288"/>
    </row>
    <row r="30" spans="1:11" x14ac:dyDescent="0.2">
      <c r="A30" s="256" t="s">
        <v>150</v>
      </c>
      <c r="B30" s="257" t="e">
        <f>+'BPA-HHOK'!M88</f>
        <v>#DIV/0!</v>
      </c>
      <c r="C30" s="257" t="e">
        <f>+'SOSU-OK'!M88</f>
        <v>#DIV/0!</v>
      </c>
      <c r="D30" s="258"/>
      <c r="E30" s="259"/>
      <c r="F30" s="213"/>
      <c r="G30" s="213"/>
      <c r="H30" s="114"/>
      <c r="I30" s="213"/>
      <c r="J30" s="213"/>
    </row>
    <row r="31" spans="1:11" ht="25.5" x14ac:dyDescent="0.2">
      <c r="A31" s="256" t="s">
        <v>128</v>
      </c>
      <c r="B31" s="257">
        <f>+'BPA-HHOK'!M98</f>
        <v>0</v>
      </c>
      <c r="C31" s="257">
        <f>+'SOSU-OK'!M98</f>
        <v>0</v>
      </c>
      <c r="D31" s="258" t="s">
        <v>310</v>
      </c>
      <c r="E31" s="259"/>
    </row>
    <row r="32" spans="1:11" x14ac:dyDescent="0.2">
      <c r="A32" s="286" t="s">
        <v>151</v>
      </c>
      <c r="B32" s="279" t="e">
        <f>SUM(B29:B31)</f>
        <v>#DIV/0!</v>
      </c>
      <c r="C32" s="279" t="e">
        <f>SUM(C29:C31)</f>
        <v>#DIV/0!</v>
      </c>
      <c r="D32" s="287"/>
      <c r="E32" s="288"/>
    </row>
    <row r="34" spans="1:11" x14ac:dyDescent="0.2">
      <c r="A34" s="286" t="s">
        <v>291</v>
      </c>
      <c r="B34" s="279" t="e">
        <f>+B32</f>
        <v>#DIV/0!</v>
      </c>
      <c r="C34" s="279" t="e">
        <f>+C32</f>
        <v>#DIV/0!</v>
      </c>
      <c r="D34" s="287"/>
      <c r="E34" s="288"/>
    </row>
    <row r="35" spans="1:11" s="291" customFormat="1" x14ac:dyDescent="0.2">
      <c r="A35" s="282" t="s">
        <v>180</v>
      </c>
      <c r="B35" s="283" t="e">
        <f>+B34/(G6/(G7/12))</f>
        <v>#DIV/0!</v>
      </c>
      <c r="C35" s="283" t="e">
        <f>+C34/(J6/J7*12)</f>
        <v>#DIV/0!</v>
      </c>
      <c r="D35" s="284"/>
      <c r="E35" s="290"/>
      <c r="F35" s="107"/>
      <c r="G35" s="107"/>
      <c r="H35" s="113"/>
      <c r="I35" s="107"/>
      <c r="J35" s="107"/>
      <c r="K35" s="248"/>
    </row>
    <row r="36" spans="1:11" s="291" customFormat="1" x14ac:dyDescent="0.2">
      <c r="A36" s="269" t="s">
        <v>178</v>
      </c>
      <c r="B36" s="270" t="e">
        <f>+B28</f>
        <v>#DIV/0!</v>
      </c>
      <c r="C36" s="270" t="e">
        <f>+C28</f>
        <v>#DIV/0!</v>
      </c>
      <c r="D36" s="271" t="s">
        <v>184</v>
      </c>
      <c r="E36" s="272"/>
      <c r="F36" s="107"/>
      <c r="G36" s="107"/>
      <c r="H36" s="113"/>
      <c r="I36" s="107"/>
      <c r="J36" s="107"/>
      <c r="K36" s="248"/>
    </row>
    <row r="37" spans="1:11" s="291" customFormat="1" x14ac:dyDescent="0.2">
      <c r="A37" s="269" t="s">
        <v>179</v>
      </c>
      <c r="B37" s="270">
        <f>+B27</f>
        <v>0</v>
      </c>
      <c r="C37" s="270">
        <f>+C27</f>
        <v>0</v>
      </c>
      <c r="D37" s="271" t="s">
        <v>184</v>
      </c>
      <c r="E37" s="272"/>
      <c r="F37" s="107"/>
      <c r="G37" s="107"/>
      <c r="H37" s="113"/>
      <c r="I37" s="107"/>
      <c r="J37" s="107"/>
    </row>
    <row r="38" spans="1:11" s="289" customFormat="1" ht="38.25" x14ac:dyDescent="0.2">
      <c r="A38" s="286" t="s">
        <v>177</v>
      </c>
      <c r="B38" s="279" t="e">
        <f>+(B34-B36-B37)/(G6/(G7/12))</f>
        <v>#DIV/0!</v>
      </c>
      <c r="C38" s="279" t="e">
        <f>+(C34-C36-C37)/(J6/(J7/12))</f>
        <v>#DIV/0!</v>
      </c>
      <c r="D38" s="287" t="s">
        <v>254</v>
      </c>
      <c r="E38" s="292"/>
      <c r="F38" s="107"/>
      <c r="G38" s="107"/>
      <c r="H38" s="113"/>
      <c r="I38" s="107"/>
      <c r="J38" s="107"/>
      <c r="K38" s="291"/>
    </row>
    <row r="39" spans="1:11" x14ac:dyDescent="0.2">
      <c r="A39" s="256" t="s">
        <v>175</v>
      </c>
      <c r="B39" s="257" t="e">
        <f>+B22/(G16-G15)</f>
        <v>#DIV/0!</v>
      </c>
      <c r="C39" s="257" t="e">
        <f>+C22/(J16-J15)</f>
        <v>#DIV/0!</v>
      </c>
      <c r="D39" s="287"/>
      <c r="F39" s="293"/>
      <c r="G39" s="293"/>
      <c r="H39" s="294"/>
      <c r="I39" s="293"/>
      <c r="J39" s="293"/>
      <c r="K39" s="291"/>
    </row>
    <row r="40" spans="1:11" x14ac:dyDescent="0.2">
      <c r="F40" s="293"/>
      <c r="G40" s="293"/>
      <c r="H40" s="294"/>
      <c r="I40" s="293"/>
      <c r="J40" s="293"/>
      <c r="K40" s="289"/>
    </row>
    <row r="41" spans="1:11" x14ac:dyDescent="0.2">
      <c r="F41" s="293"/>
      <c r="G41" s="293"/>
      <c r="H41" s="294"/>
      <c r="I41" s="293"/>
      <c r="J41" s="293"/>
    </row>
    <row r="42" spans="1:11" x14ac:dyDescent="0.2">
      <c r="F42" s="213"/>
      <c r="G42" s="213"/>
      <c r="H42" s="114"/>
      <c r="I42" s="213"/>
      <c r="J42" s="213"/>
    </row>
  </sheetData>
  <sheetProtection algorithmName="SHA-512" hashValue="/v4yqJ4nfs8yT1dqYIMlYBiSEqnx53xopqbPQxNuhs+gGd2L1LwrVR8hN0Aha6Bt22V37us7i3tnV5NPeyKuUw==" saltValue="zrcYtA277TYx3FUasdl+bA==" spinCount="100000" sheet="1" objects="1" scenarios="1"/>
  <mergeCells count="4">
    <mergeCell ref="F4:G4"/>
    <mergeCell ref="I4:J4"/>
    <mergeCell ref="I3:J3"/>
    <mergeCell ref="F3:G3"/>
  </mergeCells>
  <pageMargins left="0.7" right="0.7" top="0.75" bottom="0.75" header="0.3" footer="0.3"/>
  <pageSetup paperSize="8" scale="99" fitToHeight="0" orientation="landscape" r:id="rId1"/>
  <colBreaks count="1" manualBreakCount="1">
    <brk id="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D16D895616D844C8E905A16099DF622" ma:contentTypeVersion="12" ma:contentTypeDescription="Opret et nyt dokument." ma:contentTypeScope="" ma:versionID="c9474691875be1723e62e652e860dd5a">
  <xsd:schema xmlns:xsd="http://www.w3.org/2001/XMLSchema" xmlns:xs="http://www.w3.org/2001/XMLSchema" xmlns:p="http://schemas.microsoft.com/office/2006/metadata/properties" xmlns:ns2="62e6af6a-1476-4df8-a022-91b43d74a5fe" xmlns:ns3="385c96bc-e50f-4680-a7fe-9fd0e7daf04a" targetNamespace="http://schemas.microsoft.com/office/2006/metadata/properties" ma:root="true" ma:fieldsID="eb122047bf97a6e42692ca205b5fb166" ns2:_="" ns3:_="">
    <xsd:import namespace="62e6af6a-1476-4df8-a022-91b43d74a5fe"/>
    <xsd:import namespace="385c96bc-e50f-4680-a7fe-9fd0e7daf0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6af6a-1476-4df8-a022-91b43d74a5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5c96bc-e50f-4680-a7fe-9fd0e7daf04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15EFD0-713D-44C6-8FEA-EB1AC7DDDF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e6af6a-1476-4df8-a022-91b43d74a5fe"/>
    <ds:schemaRef ds:uri="385c96bc-e50f-4680-a7fe-9fd0e7daf0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9F4CF91-A7C1-4EEE-B099-D66F75A47D5C}">
  <ds:schemaRefs>
    <ds:schemaRef ds:uri="http://purl.org/dc/elements/1.1/"/>
    <ds:schemaRef ds:uri="http://schemas.microsoft.com/office/2006/metadata/properties"/>
    <ds:schemaRef ds:uri="62e6af6a-1476-4df8-a022-91b43d74a5fe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385c96bc-e50f-4680-a7fe-9fd0e7daf04a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B2F0963-97F0-4D07-935D-CCDEB191F9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8</vt:i4>
      </vt:variant>
    </vt:vector>
  </HeadingPairs>
  <TitlesOfParts>
    <vt:vector size="13" baseType="lpstr">
      <vt:lpstr>Administration</vt:lpstr>
      <vt:lpstr>Forudsætninger</vt:lpstr>
      <vt:lpstr>BPA-HHOK</vt:lpstr>
      <vt:lpstr>SOSU-OK</vt:lpstr>
      <vt:lpstr>Budgetark</vt:lpstr>
      <vt:lpstr>Forhøjetpension</vt:lpstr>
      <vt:lpstr>Fremskrivning</vt:lpstr>
      <vt:lpstr>Kommuneliste</vt:lpstr>
      <vt:lpstr>Kommunenavn</vt:lpstr>
      <vt:lpstr>Lønsatser</vt:lpstr>
      <vt:lpstr>Løntrin</vt:lpstr>
      <vt:lpstr>Stedtillæg</vt:lpstr>
      <vt:lpstr>Timepriser</vt:lpstr>
    </vt:vector>
  </TitlesOfParts>
  <Company>Vejle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ØVRIGE</dc:subject>
  <dc:creator>Kristina Munkegaard</dc:creator>
  <dc:description>MASTER TIL KRONEBEREGNING</dc:description>
  <cp:lastModifiedBy>Henriette Nyrum</cp:lastModifiedBy>
  <cp:lastPrinted>2019-08-28T12:57:08Z</cp:lastPrinted>
  <dcterms:created xsi:type="dcterms:W3CDTF">2009-06-02T07:30:36Z</dcterms:created>
  <dcterms:modified xsi:type="dcterms:W3CDTF">2022-01-07T10:59:37Z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0x0101000D16D895616D844C8E905A16099DF622</vt:lpwstr>
  </property>
</Properties>
</file>